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67a739c49605eae/Dokumenter/Kongsberg Idrettsforening/Hovedforeningen/Årsmøtet/2024/"/>
    </mc:Choice>
  </mc:AlternateContent>
  <xr:revisionPtr revIDLastSave="0" documentId="8_{2EBA9E88-369B-4FBE-9678-C15E2CF43F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nskap 2023" sheetId="1" r:id="rId1"/>
    <sheet name="Regnskap 2022" sheetId="2" r:id="rId2"/>
    <sheet name="Not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cQqZsGtB7rRlp3TMeLvcPVdJUA/w0Q+lZFq2VkcqTH4="/>
    </ext>
  </extLst>
</workbook>
</file>

<file path=xl/calcChain.xml><?xml version="1.0" encoding="utf-8"?>
<calcChain xmlns="http://schemas.openxmlformats.org/spreadsheetml/2006/main">
  <c r="C46" i="3" l="1"/>
  <c r="C39" i="3"/>
  <c r="C16" i="3"/>
  <c r="O42" i="2"/>
  <c r="L42" i="2"/>
  <c r="K42" i="2"/>
  <c r="J42" i="2"/>
  <c r="I42" i="2"/>
  <c r="H42" i="2"/>
  <c r="G42" i="2"/>
  <c r="F42" i="2"/>
  <c r="E42" i="2"/>
  <c r="D42" i="2"/>
  <c r="C42" i="2"/>
  <c r="M42" i="2" s="1"/>
  <c r="B42" i="2"/>
  <c r="N41" i="2"/>
  <c r="M41" i="2"/>
  <c r="N40" i="2"/>
  <c r="M40" i="2"/>
  <c r="N39" i="2"/>
  <c r="M39" i="2"/>
  <c r="N37" i="2"/>
  <c r="N42" i="2" s="1"/>
  <c r="M37" i="2"/>
  <c r="B37" i="2"/>
  <c r="O36" i="2"/>
  <c r="L36" i="2"/>
  <c r="K36" i="2"/>
  <c r="J36" i="2"/>
  <c r="I36" i="2"/>
  <c r="H36" i="2"/>
  <c r="G36" i="2"/>
  <c r="F36" i="2"/>
  <c r="E36" i="2"/>
  <c r="D36" i="2"/>
  <c r="C36" i="2"/>
  <c r="M36" i="2" s="1"/>
  <c r="B36" i="2"/>
  <c r="N35" i="2"/>
  <c r="M35" i="2"/>
  <c r="N34" i="2"/>
  <c r="N33" i="2"/>
  <c r="M33" i="2"/>
  <c r="N32" i="2"/>
  <c r="M32" i="2"/>
  <c r="N31" i="2"/>
  <c r="M31" i="2"/>
  <c r="N30" i="2"/>
  <c r="N36" i="2" s="1"/>
  <c r="M30" i="2"/>
  <c r="N26" i="2"/>
  <c r="M26" i="2"/>
  <c r="H25" i="2"/>
  <c r="H27" i="2" s="1"/>
  <c r="N23" i="2"/>
  <c r="M23" i="2"/>
  <c r="K21" i="2"/>
  <c r="K25" i="2" s="1"/>
  <c r="J21" i="2"/>
  <c r="J25" i="2" s="1"/>
  <c r="J27" i="2" s="1"/>
  <c r="I21" i="2"/>
  <c r="H21" i="2"/>
  <c r="G21" i="2"/>
  <c r="G25" i="2" s="1"/>
  <c r="F21" i="2"/>
  <c r="F25" i="2" s="1"/>
  <c r="E21" i="2"/>
  <c r="E25" i="2" s="1"/>
  <c r="D21" i="2"/>
  <c r="M21" i="2" s="1"/>
  <c r="C21" i="2"/>
  <c r="C25" i="2" s="1"/>
  <c r="B21" i="2"/>
  <c r="B25" i="2" s="1"/>
  <c r="B27" i="2" s="1"/>
  <c r="N20" i="2"/>
  <c r="M20" i="2"/>
  <c r="N19" i="2"/>
  <c r="M19" i="2"/>
  <c r="N18" i="2"/>
  <c r="N21" i="2" s="1"/>
  <c r="M18" i="2"/>
  <c r="N17" i="2"/>
  <c r="M17" i="2"/>
  <c r="L15" i="2"/>
  <c r="L25" i="2" s="1"/>
  <c r="K15" i="2"/>
  <c r="J15" i="2"/>
  <c r="I15" i="2"/>
  <c r="I25" i="2" s="1"/>
  <c r="I27" i="2" s="1"/>
  <c r="H15" i="2"/>
  <c r="G15" i="2"/>
  <c r="F15" i="2"/>
  <c r="E15" i="2"/>
  <c r="D15" i="2"/>
  <c r="C15" i="2"/>
  <c r="M15" i="2" s="1"/>
  <c r="B15" i="2"/>
  <c r="N14" i="2"/>
  <c r="M14" i="2"/>
  <c r="N13" i="2"/>
  <c r="M13" i="2"/>
  <c r="N12" i="2"/>
  <c r="N15" i="2" s="1"/>
  <c r="M12" i="2"/>
  <c r="N10" i="2"/>
  <c r="L10" i="2"/>
  <c r="K10" i="2"/>
  <c r="K27" i="2" s="1"/>
  <c r="J10" i="2"/>
  <c r="I10" i="2"/>
  <c r="H10" i="2"/>
  <c r="G10" i="2"/>
  <c r="G27" i="2" s="1"/>
  <c r="F10" i="2"/>
  <c r="F27" i="2" s="1"/>
  <c r="E10" i="2"/>
  <c r="E27" i="2" s="1"/>
  <c r="D10" i="2"/>
  <c r="M10" i="2" s="1"/>
  <c r="C10" i="2"/>
  <c r="C27" i="2" s="1"/>
  <c r="B10" i="2"/>
  <c r="N9" i="2"/>
  <c r="M9" i="2"/>
  <c r="N8" i="2"/>
  <c r="M8" i="2"/>
  <c r="N7" i="2"/>
  <c r="M7" i="2"/>
  <c r="N6" i="2"/>
  <c r="M6" i="2"/>
  <c r="N5" i="2"/>
  <c r="M5" i="2"/>
  <c r="N4" i="2"/>
  <c r="M4" i="2"/>
  <c r="P43" i="1"/>
  <c r="B43" i="1"/>
  <c r="O42" i="1"/>
  <c r="N42" i="1"/>
  <c r="I41" i="1"/>
  <c r="O41" i="1" s="1"/>
  <c r="O40" i="1"/>
  <c r="N40" i="1"/>
  <c r="O39" i="1"/>
  <c r="P37" i="1"/>
  <c r="L37" i="1"/>
  <c r="I37" i="1"/>
  <c r="F37" i="1"/>
  <c r="D37" i="1"/>
  <c r="O36" i="1"/>
  <c r="N36" i="1"/>
  <c r="E36" i="1"/>
  <c r="O35" i="1"/>
  <c r="M34" i="1"/>
  <c r="H34" i="1"/>
  <c r="N34" i="1" s="1"/>
  <c r="B34" i="1"/>
  <c r="O34" i="1" s="1"/>
  <c r="M33" i="1"/>
  <c r="M37" i="1" s="1"/>
  <c r="L33" i="1"/>
  <c r="K33" i="1"/>
  <c r="K37" i="1" s="1"/>
  <c r="J33" i="1"/>
  <c r="J37" i="1" s="1"/>
  <c r="I33" i="1"/>
  <c r="H33" i="1"/>
  <c r="H37" i="1" s="1"/>
  <c r="G33" i="1"/>
  <c r="G37" i="1" s="1"/>
  <c r="F33" i="1"/>
  <c r="E33" i="1"/>
  <c r="E37" i="1" s="1"/>
  <c r="D33" i="1"/>
  <c r="C33" i="1"/>
  <c r="C37" i="1" s="1"/>
  <c r="B33" i="1"/>
  <c r="B37" i="1" s="1"/>
  <c r="O32" i="1"/>
  <c r="N32" i="1"/>
  <c r="O31" i="1"/>
  <c r="N31" i="1"/>
  <c r="O30" i="1"/>
  <c r="N30" i="1"/>
  <c r="M27" i="1"/>
  <c r="M38" i="1" s="1"/>
  <c r="M43" i="1" s="1"/>
  <c r="L27" i="1"/>
  <c r="L38" i="1" s="1"/>
  <c r="L43" i="1" s="1"/>
  <c r="G27" i="1"/>
  <c r="G38" i="1" s="1"/>
  <c r="G43" i="1" s="1"/>
  <c r="F27" i="1"/>
  <c r="F38" i="1" s="1"/>
  <c r="F43" i="1" s="1"/>
  <c r="E27" i="1"/>
  <c r="E38" i="1" s="1"/>
  <c r="E43" i="1" s="1"/>
  <c r="D27" i="1"/>
  <c r="D38" i="1" s="1"/>
  <c r="D43" i="1" s="1"/>
  <c r="O26" i="1"/>
  <c r="N26" i="1"/>
  <c r="N25" i="1"/>
  <c r="O23" i="1"/>
  <c r="N23" i="1"/>
  <c r="K21" i="1"/>
  <c r="J21" i="1"/>
  <c r="I21" i="1"/>
  <c r="H21" i="1"/>
  <c r="G21" i="1"/>
  <c r="F21" i="1"/>
  <c r="E21" i="1"/>
  <c r="C21" i="1"/>
  <c r="B21" i="1"/>
  <c r="O20" i="1"/>
  <c r="N20" i="1"/>
  <c r="O19" i="1"/>
  <c r="N19" i="1"/>
  <c r="O18" i="1"/>
  <c r="N18" i="1"/>
  <c r="D17" i="1"/>
  <c r="N17" i="1" s="1"/>
  <c r="M15" i="1"/>
  <c r="K15" i="1"/>
  <c r="J15" i="1"/>
  <c r="I15" i="1"/>
  <c r="H15" i="1"/>
  <c r="G15" i="1"/>
  <c r="F15" i="1"/>
  <c r="E15" i="1"/>
  <c r="D15" i="1"/>
  <c r="N15" i="1" s="1"/>
  <c r="C15" i="1"/>
  <c r="B15" i="1"/>
  <c r="O14" i="1"/>
  <c r="N14" i="1"/>
  <c r="O13" i="1"/>
  <c r="N13" i="1"/>
  <c r="O12" i="1"/>
  <c r="O15" i="1" s="1"/>
  <c r="N12" i="1"/>
  <c r="P10" i="1"/>
  <c r="M10" i="1"/>
  <c r="L10" i="1"/>
  <c r="K10" i="1"/>
  <c r="K27" i="1" s="1"/>
  <c r="K38" i="1" s="1"/>
  <c r="K43" i="1" s="1"/>
  <c r="J10" i="1"/>
  <c r="J27" i="1" s="1"/>
  <c r="J38" i="1" s="1"/>
  <c r="J43" i="1" s="1"/>
  <c r="I10" i="1"/>
  <c r="I27" i="1" s="1"/>
  <c r="I38" i="1" s="1"/>
  <c r="I43" i="1" s="1"/>
  <c r="H10" i="1"/>
  <c r="H27" i="1" s="1"/>
  <c r="H38" i="1" s="1"/>
  <c r="H43" i="1" s="1"/>
  <c r="G10" i="1"/>
  <c r="F10" i="1"/>
  <c r="E10" i="1"/>
  <c r="D10" i="1"/>
  <c r="C10" i="1"/>
  <c r="C27" i="1" s="1"/>
  <c r="B10" i="1"/>
  <c r="B27" i="1" s="1"/>
  <c r="O9" i="1"/>
  <c r="N9" i="1"/>
  <c r="O8" i="1"/>
  <c r="N8" i="1"/>
  <c r="O7" i="1"/>
  <c r="N7" i="1"/>
  <c r="O6" i="1"/>
  <c r="N6" i="1"/>
  <c r="O5" i="1"/>
  <c r="N5" i="1"/>
  <c r="O4" i="1"/>
  <c r="O10" i="1" s="1"/>
  <c r="N4" i="1"/>
  <c r="N37" i="1" l="1"/>
  <c r="N27" i="1"/>
  <c r="C38" i="1"/>
  <c r="M25" i="2"/>
  <c r="N25" i="2"/>
  <c r="N27" i="2" s="1"/>
  <c r="L27" i="2"/>
  <c r="O17" i="1"/>
  <c r="O21" i="1" s="1"/>
  <c r="O25" i="1" s="1"/>
  <c r="O27" i="1" s="1"/>
  <c r="D21" i="1"/>
  <c r="N21" i="1" s="1"/>
  <c r="N33" i="1"/>
  <c r="N10" i="1"/>
  <c r="O33" i="1"/>
  <c r="O37" i="1" s="1"/>
  <c r="D25" i="2"/>
  <c r="D27" i="2" s="1"/>
  <c r="M27" i="2" s="1"/>
  <c r="N41" i="1"/>
  <c r="O38" i="1" l="1"/>
  <c r="O43" i="1" s="1"/>
  <c r="N38" i="1"/>
  <c r="C43" i="1"/>
  <c r="N43" i="1" s="1"/>
</calcChain>
</file>

<file path=xl/sharedStrings.xml><?xml version="1.0" encoding="utf-8"?>
<sst xmlns="http://schemas.openxmlformats.org/spreadsheetml/2006/main" count="151" uniqueCount="97">
  <si>
    <t>FELLES REGNSKAP FOR KONGSBERG IDRETTFORENING 2023</t>
  </si>
  <si>
    <t>KONTOER</t>
  </si>
  <si>
    <t>Hovedforening</t>
  </si>
  <si>
    <t>Fotball</t>
  </si>
  <si>
    <t>Snowboard</t>
  </si>
  <si>
    <t>Ishockey</t>
  </si>
  <si>
    <t>Hopp</t>
  </si>
  <si>
    <t>Turn</t>
  </si>
  <si>
    <t>Alpin</t>
  </si>
  <si>
    <t>Skøyter</t>
  </si>
  <si>
    <t>Friidrett</t>
  </si>
  <si>
    <t>Sykkel</t>
  </si>
  <si>
    <t>Langrenn</t>
  </si>
  <si>
    <t>E-sport</t>
  </si>
  <si>
    <t>Gruppene</t>
  </si>
  <si>
    <t xml:space="preserve">Alle + hoved </t>
  </si>
  <si>
    <t>Alle + hoved 2022</t>
  </si>
  <si>
    <t>Medlemsinntekter</t>
  </si>
  <si>
    <t>Sponsorer</t>
  </si>
  <si>
    <t>Kifkort</t>
  </si>
  <si>
    <t>Tilskudd</t>
  </si>
  <si>
    <t>Egne arr.</t>
  </si>
  <si>
    <t>Andre inntekter</t>
  </si>
  <si>
    <t>Sum inntekter</t>
  </si>
  <si>
    <t xml:space="preserve">Sum inntekter = Sum inntekter TripleTex 13 730 696 </t>
  </si>
  <si>
    <t>Vareforbruk</t>
  </si>
  <si>
    <t>Egne renn/stevner</t>
  </si>
  <si>
    <t>Konsulent</t>
  </si>
  <si>
    <t xml:space="preserve">Sum innkjøp </t>
  </si>
  <si>
    <t>Lønn</t>
  </si>
  <si>
    <t>Utgift/godtgjørelser</t>
  </si>
  <si>
    <t>Offentlige avgifter</t>
  </si>
  <si>
    <t>Andre pers. utgifter</t>
  </si>
  <si>
    <t>Sum pers. kost</t>
  </si>
  <si>
    <t>Driftsutgifter</t>
  </si>
  <si>
    <t>Sum utgifter</t>
  </si>
  <si>
    <t>Renter/gebyrer</t>
  </si>
  <si>
    <t>Årsresultat 2023</t>
  </si>
  <si>
    <t xml:space="preserve">Sum resultat = Sum resultat TripleTex 993 312 </t>
  </si>
  <si>
    <t>Balanseposter og egenkapital</t>
  </si>
  <si>
    <t>Idrettsutstyr</t>
  </si>
  <si>
    <t>Aksjer KIF-huset</t>
  </si>
  <si>
    <t>Varebeholdning</t>
  </si>
  <si>
    <t>Bankinnskudd</t>
  </si>
  <si>
    <t>Andre fordringer</t>
  </si>
  <si>
    <t>Korrigering for mellomværende</t>
  </si>
  <si>
    <t>Kundefordringer</t>
  </si>
  <si>
    <t>Sum eiendeler</t>
  </si>
  <si>
    <t>Sum eiendeler = sum eiendeler TripleTex 13 124 112</t>
  </si>
  <si>
    <t>Egenkapital</t>
  </si>
  <si>
    <t xml:space="preserve">Sum egenkapital = sum egenkapital TripleTex 10 374 718 </t>
  </si>
  <si>
    <t>Langsiktig gjeld, gjeld til lagene</t>
  </si>
  <si>
    <t>Leverandørgjeld</t>
  </si>
  <si>
    <t>Sum leverandørgjeld = sum leverandørgjeld TripleTex 1 298 519</t>
  </si>
  <si>
    <t>Kortsiktig gjeld</t>
  </si>
  <si>
    <t>*faktura 450` til K-Games inngår nå i leverandørgjeld hovedforening</t>
  </si>
  <si>
    <t>Sum egenkapital og gjeld</t>
  </si>
  <si>
    <t>Kontrollert - OK</t>
  </si>
  <si>
    <t>Korrigert mot fjorårets signerte dokumenter</t>
  </si>
  <si>
    <t>Stemmer med fjorårets signerte dokumenter</t>
  </si>
  <si>
    <t>Feil EK i fjor som har medført en korrigering som erlagt til i note</t>
  </si>
  <si>
    <t>FELLES REGNSKAP FOR KONGSBERG IDRETTFORENING 2022</t>
  </si>
  <si>
    <t>Alle + hoved 2021</t>
  </si>
  <si>
    <t>Årsresultat 2022</t>
  </si>
  <si>
    <t>Kongsberg Idrettsforening</t>
  </si>
  <si>
    <t>Noter til årsregnskapet 2023</t>
  </si>
  <si>
    <t>Note 1 - Regnskapsprinsipper</t>
  </si>
  <si>
    <t>Årsregnskapet er satt opp i samsvar med regnskapslovens bestemmelser for små foretak</t>
  </si>
  <si>
    <t>og i samsvar med idrettens regnskapsregler.</t>
  </si>
  <si>
    <t>Inntekter er inntektsført etter opptjening og når de er mottatt (kontantprinsipp)</t>
  </si>
  <si>
    <t>Kostnader er kostnadsført etter sammenstillingsprinsippet og når de er betalt (kontantprinsipp)</t>
  </si>
  <si>
    <t>Note 2 - Lønn og oppgavepliktige ytelser</t>
  </si>
  <si>
    <t>Godtgjørelser</t>
  </si>
  <si>
    <t>Arbeidsgiveravgift</t>
  </si>
  <si>
    <t>Andre ytelser, refusjoner</t>
  </si>
  <si>
    <t>Sum lønnkostnader</t>
  </si>
  <si>
    <t>Korrigert - OK</t>
  </si>
  <si>
    <t>Gjennomsnittlig antall årsverk</t>
  </si>
  <si>
    <t>Dette får ikke vi kontrollert, regner med det er OK</t>
  </si>
  <si>
    <t>Idrettsforeningen har ikke utbetalt særskilt godtgjørelse til hovedstyrets medlemmer.</t>
  </si>
  <si>
    <t>Idrettsforeningen har utbetalt godtgjørelse til revisor på kr 75 363,-.</t>
  </si>
  <si>
    <t>Korrigert</t>
  </si>
  <si>
    <t>Note 3 - Medlemstall</t>
  </si>
  <si>
    <t>Antall medlemmer pr 31.12.</t>
  </si>
  <si>
    <t>idrettsregisteringen</t>
  </si>
  <si>
    <t xml:space="preserve">Note 4 - Aksjer </t>
  </si>
  <si>
    <t>Aksjer i KIF-huset</t>
  </si>
  <si>
    <t xml:space="preserve">Aksjene er bokført til kostpris. </t>
  </si>
  <si>
    <t>Note 5 - Varebeholdning</t>
  </si>
  <si>
    <t>Beholdning av kioskvarer</t>
  </si>
  <si>
    <t>Beholding av varer for videresalg</t>
  </si>
  <si>
    <t>Sum varebeholding</t>
  </si>
  <si>
    <t>Note 6 - Egenkapital</t>
  </si>
  <si>
    <t>Egenkapital 01.01.22</t>
  </si>
  <si>
    <t>Årets resultat</t>
  </si>
  <si>
    <t>Korreksjon/overført LG 2017 og diff</t>
  </si>
  <si>
    <t>Egenkapital 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</si>
</sst>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rgb="FF000000"/>
      <name val="Calibri"/>
    </font>
    <font>
      <sz val="10"/>
      <color theme="1"/>
      <name val="Arial"/>
    </font>
    <font>
      <i/>
      <sz val="10"/>
      <color theme="1"/>
      <name val="Arial"/>
    </font>
    <font>
      <b/>
      <sz val="10"/>
      <color rgb="FF000000"/>
      <name val="Calibri"/>
    </font>
    <font>
      <b/>
      <sz val="12"/>
      <color theme="1"/>
      <name val="Arial"/>
    </font>
    <font>
      <sz val="10"/>
      <color rgb="FF000000"/>
      <name val="Arial"/>
    </font>
    <font>
      <b/>
      <sz val="12"/>
      <color rgb="FFFF0000"/>
      <name val="Noto Sans Symbols"/>
    </font>
    <font>
      <sz val="10"/>
      <color theme="1"/>
      <name val="Calibri"/>
    </font>
    <font>
      <b/>
      <sz val="10"/>
      <color rgb="FFFF0000"/>
      <name val="System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CCC0D9"/>
        <bgColor rgb="FFCCC0D9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/>
    <xf numFmtId="3" fontId="3" fillId="2" borderId="9" xfId="0" applyNumberFormat="1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3" fontId="3" fillId="2" borderId="13" xfId="0" applyNumberFormat="1" applyFont="1" applyFill="1" applyBorder="1"/>
    <xf numFmtId="0" fontId="3" fillId="2" borderId="14" xfId="0" applyFont="1" applyFill="1" applyBorder="1"/>
    <xf numFmtId="3" fontId="3" fillId="2" borderId="15" xfId="0" applyNumberFormat="1" applyFont="1" applyFill="1" applyBorder="1"/>
    <xf numFmtId="3" fontId="3" fillId="2" borderId="16" xfId="0" applyNumberFormat="1" applyFont="1" applyFill="1" applyBorder="1"/>
    <xf numFmtId="3" fontId="3" fillId="2" borderId="17" xfId="0" applyNumberFormat="1" applyFont="1" applyFill="1" applyBorder="1"/>
    <xf numFmtId="3" fontId="3" fillId="2" borderId="18" xfId="0" applyNumberFormat="1" applyFont="1" applyFill="1" applyBorder="1"/>
    <xf numFmtId="3" fontId="3" fillId="2" borderId="19" xfId="0" applyNumberFormat="1" applyFont="1" applyFill="1" applyBorder="1"/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3" fontId="3" fillId="2" borderId="22" xfId="0" applyNumberFormat="1" applyFont="1" applyFill="1" applyBorder="1"/>
    <xf numFmtId="0" fontId="1" fillId="2" borderId="23" xfId="0" applyFont="1" applyFill="1" applyBorder="1"/>
    <xf numFmtId="3" fontId="3" fillId="2" borderId="24" xfId="0" applyNumberFormat="1" applyFont="1" applyFill="1" applyBorder="1"/>
    <xf numFmtId="3" fontId="3" fillId="2" borderId="25" xfId="0" applyNumberFormat="1" applyFont="1" applyFill="1" applyBorder="1"/>
    <xf numFmtId="3" fontId="3" fillId="2" borderId="26" xfId="0" applyNumberFormat="1" applyFont="1" applyFill="1" applyBorder="1"/>
    <xf numFmtId="3" fontId="3" fillId="2" borderId="27" xfId="0" applyNumberFormat="1" applyFont="1" applyFill="1" applyBorder="1"/>
    <xf numFmtId="3" fontId="3" fillId="2" borderId="28" xfId="0" applyNumberFormat="1" applyFont="1" applyFill="1" applyBorder="1"/>
    <xf numFmtId="3" fontId="3" fillId="3" borderId="29" xfId="0" applyNumberFormat="1" applyFont="1" applyFill="1" applyBorder="1"/>
    <xf numFmtId="3" fontId="3" fillId="2" borderId="29" xfId="0" applyNumberFormat="1" applyFont="1" applyFill="1" applyBorder="1"/>
    <xf numFmtId="0" fontId="3" fillId="2" borderId="30" xfId="0" applyFont="1" applyFill="1" applyBorder="1"/>
    <xf numFmtId="3" fontId="3" fillId="2" borderId="31" xfId="0" applyNumberFormat="1" applyFont="1" applyFill="1" applyBorder="1"/>
    <xf numFmtId="3" fontId="3" fillId="2" borderId="32" xfId="0" applyNumberFormat="1" applyFont="1" applyFill="1" applyBorder="1"/>
    <xf numFmtId="0" fontId="3" fillId="2" borderId="32" xfId="0" applyFont="1" applyFill="1" applyBorder="1"/>
    <xf numFmtId="0" fontId="3" fillId="2" borderId="9" xfId="0" applyFont="1" applyFill="1" applyBorder="1"/>
    <xf numFmtId="3" fontId="3" fillId="2" borderId="33" xfId="0" applyNumberFormat="1" applyFont="1" applyFill="1" applyBorder="1"/>
    <xf numFmtId="3" fontId="3" fillId="2" borderId="34" xfId="0" applyNumberFormat="1" applyFont="1" applyFill="1" applyBorder="1"/>
    <xf numFmtId="3" fontId="3" fillId="2" borderId="35" xfId="0" applyNumberFormat="1" applyFont="1" applyFill="1" applyBorder="1"/>
    <xf numFmtId="3" fontId="3" fillId="2" borderId="36" xfId="0" applyNumberFormat="1" applyFont="1" applyFill="1" applyBorder="1"/>
    <xf numFmtId="0" fontId="3" fillId="2" borderId="31" xfId="0" applyFont="1" applyFill="1" applyBorder="1"/>
    <xf numFmtId="3" fontId="3" fillId="2" borderId="37" xfId="0" applyNumberFormat="1" applyFont="1" applyFill="1" applyBorder="1"/>
    <xf numFmtId="3" fontId="3" fillId="2" borderId="38" xfId="0" applyNumberFormat="1" applyFont="1" applyFill="1" applyBorder="1"/>
    <xf numFmtId="3" fontId="3" fillId="2" borderId="39" xfId="0" applyNumberFormat="1" applyFont="1" applyFill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0" fontId="3" fillId="2" borderId="39" xfId="0" applyFont="1" applyFill="1" applyBorder="1"/>
    <xf numFmtId="3" fontId="3" fillId="2" borderId="40" xfId="0" applyNumberFormat="1" applyFont="1" applyFill="1" applyBorder="1"/>
    <xf numFmtId="3" fontId="3" fillId="0" borderId="41" xfId="0" applyNumberFormat="1" applyFont="1" applyBorder="1"/>
    <xf numFmtId="3" fontId="3" fillId="0" borderId="42" xfId="0" applyNumberFormat="1" applyFont="1" applyBorder="1"/>
    <xf numFmtId="3" fontId="3" fillId="3" borderId="36" xfId="0" applyNumberFormat="1" applyFont="1" applyFill="1" applyBorder="1"/>
    <xf numFmtId="0" fontId="3" fillId="2" borderId="12" xfId="0" applyFont="1" applyFill="1" applyBorder="1"/>
    <xf numFmtId="0" fontId="1" fillId="2" borderId="43" xfId="0" applyFont="1" applyFill="1" applyBorder="1"/>
    <xf numFmtId="3" fontId="3" fillId="2" borderId="43" xfId="0" applyNumberFormat="1" applyFont="1" applyFill="1" applyBorder="1"/>
    <xf numFmtId="0" fontId="3" fillId="2" borderId="21" xfId="0" applyFont="1" applyFill="1" applyBorder="1"/>
    <xf numFmtId="0" fontId="3" fillId="2" borderId="1" xfId="0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3" fontId="3" fillId="2" borderId="47" xfId="0" applyNumberFormat="1" applyFont="1" applyFill="1" applyBorder="1"/>
    <xf numFmtId="3" fontId="3" fillId="2" borderId="8" xfId="0" applyNumberFormat="1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/>
    <xf numFmtId="3" fontId="2" fillId="2" borderId="1" xfId="0" applyNumberFormat="1" applyFont="1" applyFill="1" applyBorder="1"/>
    <xf numFmtId="3" fontId="3" fillId="2" borderId="14" xfId="0" applyNumberFormat="1" applyFont="1" applyFill="1" applyBorder="1"/>
    <xf numFmtId="0" fontId="1" fillId="2" borderId="48" xfId="0" applyFont="1" applyFill="1" applyBorder="1"/>
    <xf numFmtId="3" fontId="3" fillId="2" borderId="49" xfId="0" applyNumberFormat="1" applyFont="1" applyFill="1" applyBorder="1"/>
    <xf numFmtId="3" fontId="3" fillId="2" borderId="50" xfId="0" applyNumberFormat="1" applyFont="1" applyFill="1" applyBorder="1"/>
    <xf numFmtId="3" fontId="3" fillId="2" borderId="51" xfId="0" applyNumberFormat="1" applyFont="1" applyFill="1" applyBorder="1"/>
    <xf numFmtId="3" fontId="3" fillId="2" borderId="52" xfId="0" applyNumberFormat="1" applyFont="1" applyFill="1" applyBorder="1"/>
    <xf numFmtId="3" fontId="3" fillId="2" borderId="53" xfId="0" applyNumberFormat="1" applyFont="1" applyFill="1" applyBorder="1"/>
    <xf numFmtId="3" fontId="3" fillId="3" borderId="54" xfId="0" applyNumberFormat="1" applyFont="1" applyFill="1" applyBorder="1"/>
    <xf numFmtId="3" fontId="3" fillId="2" borderId="55" xfId="0" applyNumberFormat="1" applyFont="1" applyFill="1" applyBorder="1"/>
    <xf numFmtId="3" fontId="3" fillId="0" borderId="56" xfId="0" applyNumberFormat="1" applyFont="1" applyBorder="1"/>
    <xf numFmtId="3" fontId="3" fillId="3" borderId="8" xfId="0" applyNumberFormat="1" applyFont="1" applyFill="1" applyBorder="1"/>
    <xf numFmtId="3" fontId="3" fillId="0" borderId="57" xfId="0" applyNumberFormat="1" applyFont="1" applyBorder="1"/>
    <xf numFmtId="3" fontId="3" fillId="0" borderId="0" xfId="0" applyNumberFormat="1" applyFont="1"/>
    <xf numFmtId="0" fontId="1" fillId="2" borderId="54" xfId="0" applyFont="1" applyFill="1" applyBorder="1"/>
    <xf numFmtId="3" fontId="3" fillId="2" borderId="54" xfId="0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3" fontId="4" fillId="2" borderId="9" xfId="0" applyNumberFormat="1" applyFont="1" applyFill="1" applyBorder="1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/>
    <xf numFmtId="4" fontId="7" fillId="0" borderId="0" xfId="0" applyNumberFormat="1" applyFont="1"/>
    <xf numFmtId="3" fontId="3" fillId="3" borderId="1" xfId="0" applyNumberFormat="1" applyFont="1" applyFill="1" applyBorder="1"/>
    <xf numFmtId="3" fontId="3" fillId="3" borderId="32" xfId="0" applyNumberFormat="1" applyFont="1" applyFill="1" applyBorder="1"/>
    <xf numFmtId="0" fontId="9" fillId="0" borderId="0" xfId="0" applyFont="1"/>
    <xf numFmtId="3" fontId="3" fillId="3" borderId="58" xfId="0" applyNumberFormat="1" applyFont="1" applyFill="1" applyBorder="1"/>
    <xf numFmtId="0" fontId="10" fillId="0" borderId="0" xfId="0" applyFont="1"/>
    <xf numFmtId="0" fontId="1" fillId="3" borderId="1" xfId="0" applyFont="1" applyFill="1" applyBorder="1"/>
    <xf numFmtId="0" fontId="3" fillId="7" borderId="1" xfId="0" applyFont="1" applyFill="1" applyBorder="1"/>
    <xf numFmtId="3" fontId="3" fillId="7" borderId="32" xfId="0" applyNumberFormat="1" applyFont="1" applyFill="1" applyBorder="1"/>
    <xf numFmtId="16" fontId="3" fillId="0" borderId="0" xfId="0" applyNumberFormat="1" applyFont="1"/>
    <xf numFmtId="3" fontId="3" fillId="0" borderId="5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workbookViewId="0"/>
  </sheetViews>
  <sheetFormatPr baseColWidth="10" defaultColWidth="14.44140625" defaultRowHeight="15" customHeight="1"/>
  <cols>
    <col min="1" max="1" width="51.6640625" customWidth="1"/>
    <col min="2" max="2" width="13" customWidth="1"/>
    <col min="3" max="3" width="13.33203125" customWidth="1"/>
    <col min="4" max="4" width="10.5546875" customWidth="1"/>
    <col min="5" max="5" width="9.88671875" customWidth="1"/>
    <col min="6" max="6" width="8.33203125" customWidth="1"/>
    <col min="7" max="8" width="9.33203125" customWidth="1"/>
    <col min="9" max="11" width="8.33203125" customWidth="1"/>
    <col min="12" max="12" width="8.88671875" customWidth="1"/>
    <col min="13" max="13" width="9.33203125" customWidth="1"/>
    <col min="14" max="14" width="9.88671875" customWidth="1"/>
    <col min="15" max="15" width="11.6640625" customWidth="1"/>
    <col min="16" max="16" width="16" customWidth="1"/>
    <col min="17" max="26" width="9.109375" customWidth="1"/>
  </cols>
  <sheetData>
    <row r="1" spans="1:28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 customHeigh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5" t="s">
        <v>9</v>
      </c>
      <c r="J3" s="4" t="s">
        <v>10</v>
      </c>
      <c r="K3" s="6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9" t="s">
        <v>16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 customHeight="1">
      <c r="A4" s="10" t="s">
        <v>17</v>
      </c>
      <c r="B4" s="11">
        <v>-378200</v>
      </c>
      <c r="C4" s="11">
        <v>-1482500</v>
      </c>
      <c r="D4" s="12">
        <v>-57100</v>
      </c>
      <c r="E4" s="11">
        <v>-261197</v>
      </c>
      <c r="F4" s="12">
        <v>-7800</v>
      </c>
      <c r="G4" s="11">
        <v>-247785</v>
      </c>
      <c r="H4" s="11">
        <v>-575640</v>
      </c>
      <c r="I4" s="12">
        <v>-21400</v>
      </c>
      <c r="J4" s="11">
        <v>-28729</v>
      </c>
      <c r="K4" s="13">
        <v>-24000</v>
      </c>
      <c r="L4" s="14">
        <v>-3800</v>
      </c>
      <c r="M4" s="14">
        <v>-35600</v>
      </c>
      <c r="N4" s="14">
        <f>SUM(B4:M4)</f>
        <v>-3123751</v>
      </c>
      <c r="O4" s="15">
        <f t="shared" ref="O4:O9" si="0">SUM(B4:M4)</f>
        <v>-3123751</v>
      </c>
      <c r="P4" s="15">
        <v>-3602976.97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>
      <c r="A5" s="10" t="s">
        <v>18</v>
      </c>
      <c r="B5" s="11">
        <v>-1274000</v>
      </c>
      <c r="C5" s="11">
        <v>-325000</v>
      </c>
      <c r="D5" s="12">
        <v>-43500</v>
      </c>
      <c r="E5" s="11">
        <v>-156959</v>
      </c>
      <c r="F5" s="12">
        <v>0</v>
      </c>
      <c r="G5" s="11">
        <v>-15000</v>
      </c>
      <c r="H5" s="11">
        <v>-87300</v>
      </c>
      <c r="I5" s="12">
        <v>-25000</v>
      </c>
      <c r="J5" s="11">
        <v>-55000</v>
      </c>
      <c r="K5" s="13">
        <v>0</v>
      </c>
      <c r="L5" s="14">
        <v>-3000</v>
      </c>
      <c r="M5" s="14">
        <v>-98400</v>
      </c>
      <c r="N5" s="14">
        <f>SUM(C5:M5)</f>
        <v>-809159</v>
      </c>
      <c r="O5" s="15">
        <f t="shared" si="0"/>
        <v>-2083159</v>
      </c>
      <c r="P5" s="15">
        <v>-2168233.02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customHeight="1">
      <c r="A6" s="16" t="s">
        <v>19</v>
      </c>
      <c r="B6" s="17">
        <v>0</v>
      </c>
      <c r="C6" s="17">
        <v>-23325</v>
      </c>
      <c r="D6" s="18">
        <v>-3000</v>
      </c>
      <c r="E6" s="17">
        <v>-20750</v>
      </c>
      <c r="F6" s="18">
        <v>0</v>
      </c>
      <c r="G6" s="17">
        <v>-52750</v>
      </c>
      <c r="H6" s="17">
        <v>-19250</v>
      </c>
      <c r="I6" s="18">
        <v>-10500</v>
      </c>
      <c r="J6" s="17">
        <v>-16500</v>
      </c>
      <c r="K6" s="19">
        <v>0</v>
      </c>
      <c r="L6" s="20">
        <v>0</v>
      </c>
      <c r="M6" s="20">
        <v>0</v>
      </c>
      <c r="N6" s="20">
        <f t="shared" ref="N6:N9" si="1">SUM(B6:M6)</f>
        <v>-146075</v>
      </c>
      <c r="O6" s="21">
        <f t="shared" si="0"/>
        <v>-146075</v>
      </c>
      <c r="P6" s="21">
        <v>-496386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10" t="s">
        <v>20</v>
      </c>
      <c r="B7" s="11">
        <v>-2252450</v>
      </c>
      <c r="C7" s="11">
        <v>-838235</v>
      </c>
      <c r="D7" s="12">
        <v>-116950</v>
      </c>
      <c r="E7" s="11">
        <v>-197960</v>
      </c>
      <c r="F7" s="12">
        <v>-50545</v>
      </c>
      <c r="G7" s="11">
        <v>-236681</v>
      </c>
      <c r="H7" s="11">
        <v>-161957</v>
      </c>
      <c r="I7" s="12">
        <v>-69467</v>
      </c>
      <c r="J7" s="11">
        <v>-61310</v>
      </c>
      <c r="K7" s="13">
        <v>-62159</v>
      </c>
      <c r="L7" s="14">
        <v>-20817</v>
      </c>
      <c r="M7" s="14">
        <v>-314953</v>
      </c>
      <c r="N7" s="14">
        <f t="shared" si="1"/>
        <v>-4383484</v>
      </c>
      <c r="O7" s="15">
        <f t="shared" si="0"/>
        <v>-4383484</v>
      </c>
      <c r="P7" s="15">
        <v>-3404441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>
      <c r="A8" s="10" t="s">
        <v>21</v>
      </c>
      <c r="B8" s="11">
        <v>-523016</v>
      </c>
      <c r="C8" s="11">
        <v>-241000</v>
      </c>
      <c r="D8" s="12">
        <v>-24751</v>
      </c>
      <c r="E8" s="11">
        <v>0</v>
      </c>
      <c r="F8" s="12">
        <v>-25958</v>
      </c>
      <c r="G8" s="11">
        <v>-22390</v>
      </c>
      <c r="H8" s="11">
        <v>-90000</v>
      </c>
      <c r="I8" s="12">
        <v>-7100</v>
      </c>
      <c r="J8" s="11">
        <v>-48573</v>
      </c>
      <c r="K8" s="13">
        <v>-400</v>
      </c>
      <c r="L8" s="14">
        <v>0</v>
      </c>
      <c r="M8" s="14">
        <v>0</v>
      </c>
      <c r="N8" s="14">
        <f t="shared" si="1"/>
        <v>-983188</v>
      </c>
      <c r="O8" s="15">
        <f t="shared" si="0"/>
        <v>-983188</v>
      </c>
      <c r="P8" s="15">
        <v>-651620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>
      <c r="A9" s="10" t="s">
        <v>22</v>
      </c>
      <c r="B9" s="11">
        <v>-453731</v>
      </c>
      <c r="C9" s="11">
        <v>-741892</v>
      </c>
      <c r="D9" s="12">
        <v>-113659</v>
      </c>
      <c r="E9" s="11">
        <v>-568586</v>
      </c>
      <c r="F9" s="12">
        <v>-125921</v>
      </c>
      <c r="G9" s="11">
        <v>-286821</v>
      </c>
      <c r="H9" s="11">
        <v>-31344</v>
      </c>
      <c r="I9" s="12">
        <v>-56880</v>
      </c>
      <c r="J9" s="11">
        <v>-150000</v>
      </c>
      <c r="K9" s="22">
        <v>-44626</v>
      </c>
      <c r="L9" s="23">
        <v>-7253</v>
      </c>
      <c r="M9" s="23">
        <v>-430326</v>
      </c>
      <c r="N9" s="23">
        <f t="shared" si="1"/>
        <v>-3011039</v>
      </c>
      <c r="O9" s="24">
        <f t="shared" si="0"/>
        <v>-3011039</v>
      </c>
      <c r="P9" s="24">
        <v>-1664803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>
      <c r="A10" s="25" t="s">
        <v>23</v>
      </c>
      <c r="B10" s="26">
        <f t="shared" ref="B10:M10" si="2">SUM(B4:B9)</f>
        <v>-4881397</v>
      </c>
      <c r="C10" s="26">
        <f t="shared" si="2"/>
        <v>-3651952</v>
      </c>
      <c r="D10" s="27">
        <f t="shared" si="2"/>
        <v>-358960</v>
      </c>
      <c r="E10" s="26">
        <f t="shared" si="2"/>
        <v>-1205452</v>
      </c>
      <c r="F10" s="27">
        <f t="shared" si="2"/>
        <v>-210224</v>
      </c>
      <c r="G10" s="26">
        <f t="shared" si="2"/>
        <v>-861427</v>
      </c>
      <c r="H10" s="26">
        <f t="shared" si="2"/>
        <v>-965491</v>
      </c>
      <c r="I10" s="27">
        <f t="shared" si="2"/>
        <v>-190347</v>
      </c>
      <c r="J10" s="26">
        <f t="shared" si="2"/>
        <v>-360112</v>
      </c>
      <c r="K10" s="28">
        <f t="shared" si="2"/>
        <v>-131185</v>
      </c>
      <c r="L10" s="29">
        <f t="shared" si="2"/>
        <v>-34870</v>
      </c>
      <c r="M10" s="29">
        <f t="shared" si="2"/>
        <v>-879279</v>
      </c>
      <c r="N10" s="30">
        <f>SUM(C10:M10)</f>
        <v>-8849299</v>
      </c>
      <c r="O10" s="31">
        <f t="shared" ref="O10:P10" si="3">SUM(O4:O9)</f>
        <v>-13730696</v>
      </c>
      <c r="P10" s="32">
        <f t="shared" si="3"/>
        <v>-11988459.99</v>
      </c>
      <c r="Q10" s="2"/>
      <c r="R10" s="2" t="s">
        <v>24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6"/>
      <c r="O11" s="35"/>
      <c r="P11" s="3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>
      <c r="A12" s="10" t="s">
        <v>25</v>
      </c>
      <c r="B12" s="12">
        <v>900</v>
      </c>
      <c r="C12" s="12">
        <v>198103</v>
      </c>
      <c r="D12" s="12">
        <v>37387</v>
      </c>
      <c r="E12" s="12">
        <v>155950</v>
      </c>
      <c r="F12" s="12">
        <v>89968</v>
      </c>
      <c r="G12" s="12">
        <v>35437</v>
      </c>
      <c r="H12" s="12">
        <v>100162</v>
      </c>
      <c r="I12" s="12">
        <v>445</v>
      </c>
      <c r="J12" s="37">
        <v>0</v>
      </c>
      <c r="K12" s="13">
        <v>15000</v>
      </c>
      <c r="L12" s="14">
        <v>0</v>
      </c>
      <c r="M12" s="14">
        <v>0</v>
      </c>
      <c r="N12" s="14">
        <f t="shared" ref="N12:N15" si="4">SUM(C12:M12)</f>
        <v>632452</v>
      </c>
      <c r="O12" s="15">
        <f t="shared" ref="O12:O14" si="5">SUM(B12:M12)</f>
        <v>633352</v>
      </c>
      <c r="P12" s="15">
        <v>703496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>
      <c r="A13" s="10" t="s">
        <v>26</v>
      </c>
      <c r="B13" s="12">
        <v>121044</v>
      </c>
      <c r="C13" s="12">
        <v>125181</v>
      </c>
      <c r="D13" s="12">
        <v>38013</v>
      </c>
      <c r="E13" s="12">
        <v>0</v>
      </c>
      <c r="F13" s="12">
        <v>0</v>
      </c>
      <c r="G13" s="12">
        <v>0</v>
      </c>
      <c r="H13" s="12">
        <v>18550</v>
      </c>
      <c r="I13" s="12">
        <v>3802</v>
      </c>
      <c r="J13" s="11">
        <v>6382</v>
      </c>
      <c r="K13" s="13">
        <v>0</v>
      </c>
      <c r="L13" s="14">
        <v>0</v>
      </c>
      <c r="M13" s="14">
        <v>10593</v>
      </c>
      <c r="N13" s="14">
        <f t="shared" si="4"/>
        <v>202521</v>
      </c>
      <c r="O13" s="15">
        <f t="shared" si="5"/>
        <v>323565</v>
      </c>
      <c r="P13" s="15">
        <v>77749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>
      <c r="A14" s="10" t="s">
        <v>27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38">
        <v>0</v>
      </c>
      <c r="K14" s="13">
        <v>0</v>
      </c>
      <c r="L14" s="14"/>
      <c r="M14" s="14">
        <v>0</v>
      </c>
      <c r="N14" s="14">
        <f t="shared" si="4"/>
        <v>0</v>
      </c>
      <c r="O14" s="15">
        <f t="shared" si="5"/>
        <v>0</v>
      </c>
      <c r="P14" s="15"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>
      <c r="A15" s="25" t="s">
        <v>28</v>
      </c>
      <c r="B15" s="27">
        <f t="shared" ref="B15:I15" si="6">SUM(B12:B14)</f>
        <v>121944</v>
      </c>
      <c r="C15" s="27">
        <f t="shared" si="6"/>
        <v>323284</v>
      </c>
      <c r="D15" s="27">
        <f t="shared" si="6"/>
        <v>75400</v>
      </c>
      <c r="E15" s="27">
        <f t="shared" si="6"/>
        <v>155950</v>
      </c>
      <c r="F15" s="27">
        <f t="shared" si="6"/>
        <v>89968</v>
      </c>
      <c r="G15" s="27">
        <f t="shared" si="6"/>
        <v>35437</v>
      </c>
      <c r="H15" s="27">
        <f t="shared" si="6"/>
        <v>118712</v>
      </c>
      <c r="I15" s="27">
        <f t="shared" si="6"/>
        <v>4247</v>
      </c>
      <c r="J15" s="26">
        <f>SUM(J13:J14)</f>
        <v>6382</v>
      </c>
      <c r="K15" s="39">
        <f>SUM(K12:K14)</f>
        <v>15000</v>
      </c>
      <c r="L15" s="40">
        <v>0</v>
      </c>
      <c r="M15" s="40">
        <f>SUM(M12:M14)</f>
        <v>10593</v>
      </c>
      <c r="N15" s="40">
        <f t="shared" si="4"/>
        <v>834973</v>
      </c>
      <c r="O15" s="41">
        <f>SUM(O12:O14)</f>
        <v>956917</v>
      </c>
      <c r="P15" s="41">
        <v>781245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2"/>
      <c r="O16" s="34"/>
      <c r="P16" s="3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customHeight="1">
      <c r="A17" s="10" t="s">
        <v>29</v>
      </c>
      <c r="B17" s="11">
        <v>1024876</v>
      </c>
      <c r="C17" s="11">
        <v>914922</v>
      </c>
      <c r="D17" s="11">
        <f>135255-14785</f>
        <v>120470</v>
      </c>
      <c r="E17" s="11">
        <v>0</v>
      </c>
      <c r="F17" s="11">
        <v>25000</v>
      </c>
      <c r="G17" s="11">
        <v>422132</v>
      </c>
      <c r="H17" s="11">
        <v>66935</v>
      </c>
      <c r="I17" s="11">
        <v>0</v>
      </c>
      <c r="J17" s="11">
        <v>4250</v>
      </c>
      <c r="K17" s="43">
        <v>0</v>
      </c>
      <c r="L17" s="14">
        <v>0</v>
      </c>
      <c r="M17" s="14">
        <v>0</v>
      </c>
      <c r="N17" s="14">
        <f t="shared" ref="N17:N21" si="7">SUM(C17:M17)</f>
        <v>1553709</v>
      </c>
      <c r="O17" s="15">
        <f t="shared" ref="O17:O20" si="8">SUM(B17:M17)</f>
        <v>2578585</v>
      </c>
      <c r="P17" s="15">
        <v>2567749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customHeight="1">
      <c r="A18" s="10" t="s">
        <v>30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  <c r="L18" s="14">
        <v>0</v>
      </c>
      <c r="M18" s="14">
        <v>0</v>
      </c>
      <c r="N18" s="14">
        <f t="shared" si="7"/>
        <v>0</v>
      </c>
      <c r="O18" s="15">
        <f t="shared" si="8"/>
        <v>0</v>
      </c>
      <c r="P18" s="15">
        <v>45114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>
      <c r="A19" s="10" t="s">
        <v>31</v>
      </c>
      <c r="B19" s="11">
        <v>116966</v>
      </c>
      <c r="C19" s="11">
        <v>111590</v>
      </c>
      <c r="D19" s="11">
        <v>14785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3">
        <v>0</v>
      </c>
      <c r="L19" s="14">
        <v>0</v>
      </c>
      <c r="M19" s="14">
        <v>0</v>
      </c>
      <c r="N19" s="14">
        <f t="shared" si="7"/>
        <v>126375</v>
      </c>
      <c r="O19" s="15">
        <f t="shared" si="8"/>
        <v>243341</v>
      </c>
      <c r="P19" s="15">
        <v>305200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customHeight="1">
      <c r="A20" s="10" t="s">
        <v>32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3">
        <v>0</v>
      </c>
      <c r="L20" s="14">
        <v>0</v>
      </c>
      <c r="M20" s="14">
        <v>0</v>
      </c>
      <c r="N20" s="14">
        <f t="shared" si="7"/>
        <v>0</v>
      </c>
      <c r="O20" s="15">
        <f t="shared" si="8"/>
        <v>0</v>
      </c>
      <c r="P20" s="15">
        <v>84759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customHeight="1">
      <c r="A21" s="25" t="s">
        <v>33</v>
      </c>
      <c r="B21" s="26">
        <f t="shared" ref="B21:K21" si="9">SUM(B17:B20)</f>
        <v>1141842</v>
      </c>
      <c r="C21" s="26">
        <f t="shared" si="9"/>
        <v>1026512</v>
      </c>
      <c r="D21" s="26">
        <f t="shared" si="9"/>
        <v>135255</v>
      </c>
      <c r="E21" s="26">
        <f t="shared" si="9"/>
        <v>0</v>
      </c>
      <c r="F21" s="26">
        <f t="shared" si="9"/>
        <v>25000</v>
      </c>
      <c r="G21" s="26">
        <f t="shared" si="9"/>
        <v>422132</v>
      </c>
      <c r="H21" s="26">
        <f t="shared" si="9"/>
        <v>66935</v>
      </c>
      <c r="I21" s="27">
        <f t="shared" si="9"/>
        <v>0</v>
      </c>
      <c r="J21" s="26">
        <f t="shared" si="9"/>
        <v>4250</v>
      </c>
      <c r="K21" s="39">
        <f t="shared" si="9"/>
        <v>0</v>
      </c>
      <c r="L21" s="40">
        <v>0</v>
      </c>
      <c r="M21" s="40">
        <v>0</v>
      </c>
      <c r="N21" s="40">
        <f t="shared" si="7"/>
        <v>1680084</v>
      </c>
      <c r="O21" s="41">
        <f>SUM(O17:O20)</f>
        <v>2821926</v>
      </c>
      <c r="P21" s="41">
        <v>3002822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customHeight="1">
      <c r="A22" s="10"/>
      <c r="B22" s="44"/>
      <c r="C22" s="45"/>
      <c r="D22" s="45"/>
      <c r="E22" s="45"/>
      <c r="F22" s="45"/>
      <c r="G22" s="45"/>
      <c r="H22" s="45"/>
      <c r="I22" s="45"/>
      <c r="J22" s="46"/>
      <c r="K22" s="47"/>
      <c r="L22" s="45"/>
      <c r="M22" s="45"/>
      <c r="N22" s="48"/>
      <c r="O22" s="45"/>
      <c r="P22" s="4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customHeight="1">
      <c r="A23" s="25" t="s">
        <v>34</v>
      </c>
      <c r="B23" s="26">
        <v>3210372</v>
      </c>
      <c r="C23" s="49">
        <v>2456888</v>
      </c>
      <c r="D23" s="49">
        <v>254577</v>
      </c>
      <c r="E23" s="49">
        <v>838495</v>
      </c>
      <c r="F23" s="49">
        <v>82164</v>
      </c>
      <c r="G23" s="49">
        <v>266181</v>
      </c>
      <c r="H23" s="49">
        <v>812008</v>
      </c>
      <c r="I23" s="49">
        <v>149688</v>
      </c>
      <c r="J23" s="26">
        <v>476036</v>
      </c>
      <c r="K23" s="26">
        <v>112369</v>
      </c>
      <c r="L23" s="29">
        <v>10232</v>
      </c>
      <c r="M23" s="29">
        <v>289532</v>
      </c>
      <c r="N23" s="30">
        <f>SUM(C23:M23)</f>
        <v>5748170</v>
      </c>
      <c r="O23" s="32">
        <f>SUM(B23:M23)-O26</f>
        <v>8899218.1999999993</v>
      </c>
      <c r="P23" s="32">
        <v>8111107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45"/>
      <c r="M24" s="45"/>
      <c r="N24" s="48"/>
      <c r="O24" s="45"/>
      <c r="P24" s="4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customHeight="1">
      <c r="A25" s="25" t="s">
        <v>35</v>
      </c>
      <c r="B25" s="26">
        <v>4453067.74</v>
      </c>
      <c r="C25" s="26">
        <v>3790905.6</v>
      </c>
      <c r="D25" s="26">
        <v>463681.1</v>
      </c>
      <c r="E25" s="26">
        <v>989236.8</v>
      </c>
      <c r="F25" s="26">
        <v>196223.72</v>
      </c>
      <c r="G25" s="26">
        <v>720028.17</v>
      </c>
      <c r="H25" s="26">
        <v>993483.56</v>
      </c>
      <c r="I25" s="26">
        <v>153112.6</v>
      </c>
      <c r="J25" s="26">
        <v>485112.12</v>
      </c>
      <c r="K25" s="26">
        <v>126802.21</v>
      </c>
      <c r="L25" s="26">
        <v>10081.34</v>
      </c>
      <c r="M25" s="26">
        <v>296326.03999999998</v>
      </c>
      <c r="N25" s="30">
        <f>SUM(C25:M25)</f>
        <v>8224993.2599999988</v>
      </c>
      <c r="O25" s="32">
        <f>O23+O21+O15</f>
        <v>12678061.199999999</v>
      </c>
      <c r="P25" s="32">
        <v>11895174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customHeight="1">
      <c r="A26" s="10" t="s">
        <v>36</v>
      </c>
      <c r="B26" s="11">
        <v>21090.26</v>
      </c>
      <c r="C26" s="11">
        <v>15778.4</v>
      </c>
      <c r="D26" s="11">
        <v>1550.9</v>
      </c>
      <c r="E26" s="11">
        <v>5208</v>
      </c>
      <c r="F26" s="11">
        <v>908.28</v>
      </c>
      <c r="G26" s="11">
        <v>3721.83</v>
      </c>
      <c r="H26" s="11">
        <v>4171.4399999999996</v>
      </c>
      <c r="I26" s="11">
        <v>822.4</v>
      </c>
      <c r="J26" s="11">
        <v>1555.88</v>
      </c>
      <c r="K26" s="11">
        <v>566.79</v>
      </c>
      <c r="L26" s="47">
        <v>150.66</v>
      </c>
      <c r="M26" s="47">
        <v>3798.96</v>
      </c>
      <c r="N26" s="14">
        <f>SUM(C26:L26)</f>
        <v>34434.58</v>
      </c>
      <c r="O26" s="15">
        <f>SUM(B26:M26)</f>
        <v>59323.8</v>
      </c>
      <c r="P26" s="15"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customHeight="1">
      <c r="A27" s="25" t="s">
        <v>37</v>
      </c>
      <c r="B27" s="50">
        <f t="shared" ref="B27:M27" si="10">B10+B25+B26</f>
        <v>-407238.99999999977</v>
      </c>
      <c r="C27" s="50">
        <f t="shared" si="10"/>
        <v>154732.00000000009</v>
      </c>
      <c r="D27" s="50">
        <f t="shared" si="10"/>
        <v>106271.99999999997</v>
      </c>
      <c r="E27" s="50">
        <f t="shared" si="10"/>
        <v>-211007.19999999995</v>
      </c>
      <c r="F27" s="50">
        <f t="shared" si="10"/>
        <v>-13091.999999999998</v>
      </c>
      <c r="G27" s="50">
        <f t="shared" si="10"/>
        <v>-137676.99999999997</v>
      </c>
      <c r="H27" s="50">
        <f t="shared" si="10"/>
        <v>32164.000000000055</v>
      </c>
      <c r="I27" s="50">
        <f t="shared" si="10"/>
        <v>-36411.999999999993</v>
      </c>
      <c r="J27" s="50">
        <f t="shared" si="10"/>
        <v>126556</v>
      </c>
      <c r="K27" s="50">
        <f t="shared" si="10"/>
        <v>-3815.9999999999936</v>
      </c>
      <c r="L27" s="50">
        <f t="shared" si="10"/>
        <v>-24638</v>
      </c>
      <c r="M27" s="50">
        <f t="shared" si="10"/>
        <v>-579154</v>
      </c>
      <c r="N27" s="51">
        <f>SUM(C27:M27)</f>
        <v>-586072.19999999984</v>
      </c>
      <c r="O27" s="52">
        <f>O10+O25+O26</f>
        <v>-993311.0000000007</v>
      </c>
      <c r="P27" s="41">
        <v>-93286</v>
      </c>
      <c r="Q27" s="2"/>
      <c r="R27" s="2" t="s">
        <v>38</v>
      </c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customHeight="1">
      <c r="A28" s="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53"/>
      <c r="O28" s="47"/>
      <c r="P28" s="5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customHeight="1">
      <c r="A29" s="54" t="s">
        <v>39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5"/>
      <c r="P29" s="5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customHeight="1">
      <c r="A30" s="57" t="s">
        <v>40</v>
      </c>
      <c r="B30" s="58">
        <v>0</v>
      </c>
      <c r="C30" s="58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60">
        <v>0</v>
      </c>
      <c r="L30" s="14">
        <v>0</v>
      </c>
      <c r="M30" s="14">
        <v>280000</v>
      </c>
      <c r="N30" s="15">
        <f t="shared" ref="N30:N34" si="11">SUM(C30:M30)</f>
        <v>280000</v>
      </c>
      <c r="O30" s="61">
        <f t="shared" ref="O30:O34" si="12">SUM(B30:M30)</f>
        <v>280000</v>
      </c>
      <c r="P30" s="15"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>
      <c r="A31" s="57" t="s">
        <v>41</v>
      </c>
      <c r="B31" s="11">
        <v>100000</v>
      </c>
      <c r="C31" s="11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14">
        <v>0</v>
      </c>
      <c r="L31" s="14">
        <v>0</v>
      </c>
      <c r="M31" s="14">
        <v>0</v>
      </c>
      <c r="N31" s="15">
        <f t="shared" si="11"/>
        <v>0</v>
      </c>
      <c r="O31" s="62">
        <f t="shared" si="12"/>
        <v>100000</v>
      </c>
      <c r="P31" s="15">
        <v>100000</v>
      </c>
      <c r="Q31" s="63"/>
      <c r="R31" s="63"/>
      <c r="S31" s="64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customHeight="1">
      <c r="A32" s="57" t="s">
        <v>42</v>
      </c>
      <c r="B32" s="11">
        <v>27900</v>
      </c>
      <c r="C32" s="11">
        <v>4054</v>
      </c>
      <c r="D32" s="47">
        <v>0</v>
      </c>
      <c r="E32" s="47">
        <v>110075</v>
      </c>
      <c r="F32" s="47">
        <v>35670</v>
      </c>
      <c r="G32" s="47">
        <v>0</v>
      </c>
      <c r="H32" s="47">
        <v>50000</v>
      </c>
      <c r="I32" s="47">
        <v>0</v>
      </c>
      <c r="J32" s="47">
        <v>0</v>
      </c>
      <c r="K32" s="14">
        <v>0</v>
      </c>
      <c r="L32" s="14">
        <v>0</v>
      </c>
      <c r="M32" s="14">
        <v>0</v>
      </c>
      <c r="N32" s="15">
        <f t="shared" si="11"/>
        <v>199799</v>
      </c>
      <c r="O32" s="62">
        <f t="shared" si="12"/>
        <v>227699</v>
      </c>
      <c r="P32" s="15">
        <v>188889</v>
      </c>
      <c r="Q32" s="63"/>
      <c r="R32" s="63"/>
      <c r="S32" s="64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customHeight="1">
      <c r="A33" s="10" t="s">
        <v>43</v>
      </c>
      <c r="B33" s="11">
        <f>896143+1568161+81482</f>
        <v>2545786</v>
      </c>
      <c r="C33" s="11">
        <f>610410.7+1299259.72</f>
        <v>1909670.42</v>
      </c>
      <c r="D33" s="47">
        <f>260626+850755</f>
        <v>1111381</v>
      </c>
      <c r="E33" s="47">
        <f>847589+301757</f>
        <v>1149346</v>
      </c>
      <c r="F33" s="47">
        <f>122974+191404</f>
        <v>314378</v>
      </c>
      <c r="G33" s="47">
        <f>834360+894437</f>
        <v>1728797</v>
      </c>
      <c r="H33" s="47">
        <f>926211+281273+5434</f>
        <v>1212918</v>
      </c>
      <c r="I33" s="47">
        <f>259495+65190</f>
        <v>324685</v>
      </c>
      <c r="J33" s="47">
        <f>246201+185315</f>
        <v>431516</v>
      </c>
      <c r="K33" s="14">
        <f>446474</f>
        <v>446474</v>
      </c>
      <c r="L33" s="14">
        <f>60692</f>
        <v>60692</v>
      </c>
      <c r="M33" s="14">
        <f>237556</f>
        <v>237556</v>
      </c>
      <c r="N33" s="15">
        <f t="shared" si="11"/>
        <v>8927413.4199999999</v>
      </c>
      <c r="O33" s="62">
        <f t="shared" si="12"/>
        <v>11473199.42</v>
      </c>
      <c r="P33" s="15">
        <v>10282371</v>
      </c>
      <c r="Q33" s="64"/>
      <c r="R33" s="64"/>
      <c r="S33" s="64"/>
      <c r="T33" s="65"/>
      <c r="U33" s="2"/>
      <c r="V33" s="2"/>
      <c r="W33" s="2"/>
      <c r="X33" s="2"/>
      <c r="Y33" s="2"/>
      <c r="Z33" s="2"/>
      <c r="AA33" s="2"/>
      <c r="AB33" s="2"/>
    </row>
    <row r="34" spans="1:28" ht="12.75" customHeight="1">
      <c r="A34" s="10" t="s">
        <v>44</v>
      </c>
      <c r="B34" s="11">
        <f>6075+450000</f>
        <v>456075</v>
      </c>
      <c r="C34" s="11">
        <v>0</v>
      </c>
      <c r="D34" s="47">
        <v>0</v>
      </c>
      <c r="E34" s="47">
        <v>0</v>
      </c>
      <c r="F34" s="47">
        <v>0</v>
      </c>
      <c r="G34" s="47">
        <v>0</v>
      </c>
      <c r="H34" s="47">
        <f>70365+119983</f>
        <v>190348</v>
      </c>
      <c r="I34" s="47">
        <v>0</v>
      </c>
      <c r="J34" s="47">
        <v>0</v>
      </c>
      <c r="K34" s="14">
        <v>25865</v>
      </c>
      <c r="L34" s="14"/>
      <c r="M34" s="14">
        <f>14953+17249</f>
        <v>32202</v>
      </c>
      <c r="N34" s="15">
        <f t="shared" si="11"/>
        <v>248415</v>
      </c>
      <c r="O34" s="62">
        <f t="shared" si="12"/>
        <v>704490</v>
      </c>
      <c r="P34" s="15">
        <v>996402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 customHeight="1">
      <c r="A35" s="10" t="s">
        <v>45</v>
      </c>
      <c r="B35" s="11">
        <v>0</v>
      </c>
      <c r="C35" s="11">
        <v>0</v>
      </c>
      <c r="D35" s="47">
        <v>0</v>
      </c>
      <c r="E35" s="47"/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14">
        <v>0</v>
      </c>
      <c r="L35" s="14">
        <v>0</v>
      </c>
      <c r="M35" s="14">
        <v>0</v>
      </c>
      <c r="N35" s="15">
        <v>0</v>
      </c>
      <c r="O35" s="62">
        <f>SUM(B35:N35)</f>
        <v>0</v>
      </c>
      <c r="P35" s="15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customHeight="1">
      <c r="A36" s="10" t="s">
        <v>46</v>
      </c>
      <c r="B36" s="17">
        <v>224500</v>
      </c>
      <c r="C36" s="17">
        <v>3661</v>
      </c>
      <c r="D36" s="35">
        <v>2610</v>
      </c>
      <c r="E36" s="35">
        <f>39900+6250</f>
        <v>46150</v>
      </c>
      <c r="F36" s="35">
        <v>0</v>
      </c>
      <c r="G36" s="35">
        <v>0</v>
      </c>
      <c r="H36" s="35">
        <v>6000</v>
      </c>
      <c r="I36" s="35">
        <v>0</v>
      </c>
      <c r="J36" s="35">
        <v>31250</v>
      </c>
      <c r="K36" s="20"/>
      <c r="L36" s="20">
        <v>0</v>
      </c>
      <c r="M36" s="20">
        <v>24550</v>
      </c>
      <c r="N36" s="21">
        <f t="shared" ref="N36:N38" si="13">SUM(C36:M36)</f>
        <v>114221</v>
      </c>
      <c r="O36" s="66">
        <f>SUM(B36:M36)</f>
        <v>338721</v>
      </c>
      <c r="P36" s="21">
        <v>130070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customHeight="1">
      <c r="A37" s="67" t="s">
        <v>47</v>
      </c>
      <c r="B37" s="68">
        <f t="shared" ref="B37:M37" si="14">SUM(B30:B36)</f>
        <v>3354261</v>
      </c>
      <c r="C37" s="69">
        <f t="shared" si="14"/>
        <v>1917385.42</v>
      </c>
      <c r="D37" s="70">
        <f t="shared" si="14"/>
        <v>1113991</v>
      </c>
      <c r="E37" s="70">
        <f t="shared" si="14"/>
        <v>1305571</v>
      </c>
      <c r="F37" s="70">
        <f t="shared" si="14"/>
        <v>350048</v>
      </c>
      <c r="G37" s="70">
        <f t="shared" si="14"/>
        <v>1728797</v>
      </c>
      <c r="H37" s="70">
        <f t="shared" si="14"/>
        <v>1459266</v>
      </c>
      <c r="I37" s="70">
        <f t="shared" si="14"/>
        <v>324685</v>
      </c>
      <c r="J37" s="70">
        <f t="shared" si="14"/>
        <v>462766</v>
      </c>
      <c r="K37" s="71">
        <f t="shared" si="14"/>
        <v>472339</v>
      </c>
      <c r="L37" s="71">
        <f t="shared" si="14"/>
        <v>60692</v>
      </c>
      <c r="M37" s="71">
        <f t="shared" si="14"/>
        <v>574308</v>
      </c>
      <c r="N37" s="72">
        <f t="shared" si="13"/>
        <v>9769848.4199999999</v>
      </c>
      <c r="O37" s="73">
        <f t="shared" ref="O37:P37" si="15">SUM(O30:O36)</f>
        <v>13124109.42</v>
      </c>
      <c r="P37" s="72">
        <f t="shared" si="15"/>
        <v>11697732</v>
      </c>
      <c r="Q37" s="2"/>
      <c r="R37" s="65" t="s">
        <v>48</v>
      </c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customHeight="1">
      <c r="A38" s="10" t="s">
        <v>49</v>
      </c>
      <c r="B38" s="74">
        <v>1621597</v>
      </c>
      <c r="C38" s="47">
        <f>1704560+(-1*C27)-181002</f>
        <v>1368826</v>
      </c>
      <c r="D38" s="47">
        <f>1118149+(-1*D27)</f>
        <v>1011877</v>
      </c>
      <c r="E38" s="47">
        <f>821431+(-1*E27)</f>
        <v>1032438.2</v>
      </c>
      <c r="F38" s="47">
        <f>664872+(-1*F27)</f>
        <v>677964</v>
      </c>
      <c r="G38" s="47">
        <f>1679020+(-1*G27)</f>
        <v>1816697</v>
      </c>
      <c r="H38" s="47">
        <f>1059653+(-1*H27)</f>
        <v>1027489</v>
      </c>
      <c r="I38" s="47">
        <f>299833+(-1*I27)</f>
        <v>336245</v>
      </c>
      <c r="J38" s="47">
        <f>526555+(-1*J27)</f>
        <v>399999</v>
      </c>
      <c r="K38" s="14">
        <f>431311+(-1*K27)</f>
        <v>435127</v>
      </c>
      <c r="L38" s="14">
        <f>42666+(-1*L27)</f>
        <v>67304</v>
      </c>
      <c r="M38" s="75">
        <f>M27*-1</f>
        <v>579154</v>
      </c>
      <c r="N38" s="15">
        <f t="shared" si="13"/>
        <v>8753120.1999999993</v>
      </c>
      <c r="O38" s="76">
        <f>SUM(B38:M38)</f>
        <v>10374717.199999999</v>
      </c>
      <c r="P38" s="15">
        <v>9381406</v>
      </c>
      <c r="Q38" s="2"/>
      <c r="R38" s="2" t="s">
        <v>50</v>
      </c>
      <c r="S38" s="65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customHeight="1">
      <c r="A39" s="10" t="s">
        <v>45</v>
      </c>
      <c r="B39" s="12">
        <v>0</v>
      </c>
      <c r="C39" s="47"/>
      <c r="D39" s="47"/>
      <c r="E39" s="47"/>
      <c r="F39" s="47">
        <v>0</v>
      </c>
      <c r="G39" s="47">
        <v>0</v>
      </c>
      <c r="H39" s="47"/>
      <c r="I39" s="47">
        <v>0</v>
      </c>
      <c r="J39" s="47">
        <v>0</v>
      </c>
      <c r="K39" s="14">
        <v>0</v>
      </c>
      <c r="L39" s="14">
        <v>0</v>
      </c>
      <c r="M39" s="14">
        <v>0</v>
      </c>
      <c r="N39" s="15">
        <v>0</v>
      </c>
      <c r="O39" s="62">
        <f>SUM(B39:N39)</f>
        <v>0</v>
      </c>
      <c r="P39" s="15"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customHeight="1">
      <c r="A40" s="10" t="s">
        <v>51</v>
      </c>
      <c r="B40" s="12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14">
        <v>0</v>
      </c>
      <c r="L40" s="14">
        <v>0</v>
      </c>
      <c r="M40" s="14">
        <v>0</v>
      </c>
      <c r="N40" s="14">
        <f t="shared" ref="N40:N42" si="16">SUM(C40:M40)</f>
        <v>0</v>
      </c>
      <c r="O40" s="62">
        <f t="shared" ref="O40:O42" si="17">SUM(B40:M40)</f>
        <v>0</v>
      </c>
      <c r="P40" s="1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customHeight="1">
      <c r="A41" s="10" t="s">
        <v>52</v>
      </c>
      <c r="B41" s="77">
        <v>485054</v>
      </c>
      <c r="C41" s="78">
        <v>135535</v>
      </c>
      <c r="D41" s="78">
        <v>95012</v>
      </c>
      <c r="E41" s="78">
        <v>169570</v>
      </c>
      <c r="F41" s="78">
        <v>13866</v>
      </c>
      <c r="G41" s="78">
        <v>30873</v>
      </c>
      <c r="H41" s="78">
        <v>310923</v>
      </c>
      <c r="I41" s="78">
        <f>3819+1200</f>
        <v>5019</v>
      </c>
      <c r="J41" s="78">
        <v>15221</v>
      </c>
      <c r="K41" s="75">
        <v>32011</v>
      </c>
      <c r="L41" s="75">
        <v>1861</v>
      </c>
      <c r="M41" s="75">
        <v>3574</v>
      </c>
      <c r="N41" s="15">
        <f t="shared" si="16"/>
        <v>813465</v>
      </c>
      <c r="O41" s="76">
        <f t="shared" si="17"/>
        <v>1298519</v>
      </c>
      <c r="P41" s="15">
        <v>694850</v>
      </c>
      <c r="Q41" s="2"/>
      <c r="R41" s="2" t="s">
        <v>53</v>
      </c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customHeight="1">
      <c r="A42" s="10" t="s">
        <v>54</v>
      </c>
      <c r="B42" s="18">
        <v>1247610</v>
      </c>
      <c r="C42" s="47">
        <v>413024</v>
      </c>
      <c r="D42" s="47">
        <v>7102</v>
      </c>
      <c r="E42" s="47">
        <v>103563</v>
      </c>
      <c r="F42" s="47">
        <v>-341782</v>
      </c>
      <c r="G42" s="47">
        <v>-118773</v>
      </c>
      <c r="H42" s="47">
        <v>120854</v>
      </c>
      <c r="I42" s="47">
        <v>-16579</v>
      </c>
      <c r="J42" s="47">
        <v>47546</v>
      </c>
      <c r="K42" s="14">
        <v>5201</v>
      </c>
      <c r="L42" s="14">
        <v>-8473</v>
      </c>
      <c r="M42" s="14">
        <v>-8420</v>
      </c>
      <c r="N42" s="15">
        <f t="shared" si="16"/>
        <v>203263</v>
      </c>
      <c r="O42" s="62">
        <f t="shared" si="17"/>
        <v>1450873</v>
      </c>
      <c r="P42" s="15">
        <v>1621476</v>
      </c>
      <c r="Q42" s="2"/>
      <c r="R42" s="2" t="s">
        <v>55</v>
      </c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customHeight="1">
      <c r="A43" s="79" t="s">
        <v>56</v>
      </c>
      <c r="B43" s="49">
        <f t="shared" ref="B43:M43" si="18">SUM(B38:B42)</f>
        <v>3354261</v>
      </c>
      <c r="C43" s="69">
        <f t="shared" si="18"/>
        <v>1917385</v>
      </c>
      <c r="D43" s="70">
        <f t="shared" si="18"/>
        <v>1113991</v>
      </c>
      <c r="E43" s="70">
        <f t="shared" si="18"/>
        <v>1305571.2</v>
      </c>
      <c r="F43" s="70">
        <f t="shared" si="18"/>
        <v>350048</v>
      </c>
      <c r="G43" s="70">
        <f t="shared" si="18"/>
        <v>1728797</v>
      </c>
      <c r="H43" s="70">
        <f t="shared" si="18"/>
        <v>1459266</v>
      </c>
      <c r="I43" s="70">
        <f t="shared" si="18"/>
        <v>324685</v>
      </c>
      <c r="J43" s="70">
        <f t="shared" si="18"/>
        <v>462766</v>
      </c>
      <c r="K43" s="71">
        <f t="shared" si="18"/>
        <v>472339</v>
      </c>
      <c r="L43" s="71">
        <f t="shared" si="18"/>
        <v>60692</v>
      </c>
      <c r="M43" s="71">
        <f t="shared" si="18"/>
        <v>574308</v>
      </c>
      <c r="N43" s="72">
        <f>SUM(C43:L43)</f>
        <v>9195540.1999999993</v>
      </c>
      <c r="O43" s="80">
        <f t="shared" ref="O43:P43" si="19">SUM(O38:O42)</f>
        <v>13124109.199999999</v>
      </c>
      <c r="P43" s="72">
        <f t="shared" si="19"/>
        <v>11697732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customHeight="1">
      <c r="B45" s="81"/>
      <c r="C45" s="57" t="s">
        <v>57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customHeight="1">
      <c r="A47" s="2"/>
      <c r="B47" s="82"/>
      <c r="C47" s="57" t="s">
        <v>58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customHeight="1">
      <c r="A48" s="2"/>
      <c r="B48" s="83"/>
      <c r="C48" s="57" t="s">
        <v>59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customHeight="1">
      <c r="A50" s="2"/>
      <c r="B50" s="84"/>
      <c r="C50" s="57" t="s">
        <v>60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8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8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8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8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8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8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8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8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8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/>
    <row r="231" spans="1:25" ht="12.75" customHeight="1"/>
    <row r="232" spans="1:25" ht="12.75" customHeight="1"/>
    <row r="233" spans="1:25" ht="12.75" customHeight="1"/>
    <row r="234" spans="1:25" ht="12.75" customHeight="1"/>
    <row r="235" spans="1:25" ht="12.75" customHeight="1"/>
    <row r="236" spans="1:25" ht="12.75" customHeight="1"/>
    <row r="237" spans="1:25" ht="12.75" customHeight="1"/>
    <row r="238" spans="1:25" ht="12.75" customHeight="1"/>
    <row r="239" spans="1:25" ht="12.75" customHeight="1"/>
    <row r="240" spans="1:25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0"/>
  <sheetViews>
    <sheetView workbookViewId="0"/>
  </sheetViews>
  <sheetFormatPr baseColWidth="10" defaultColWidth="14.44140625" defaultRowHeight="15" customHeight="1"/>
  <cols>
    <col min="1" max="1" width="29.44140625" customWidth="1"/>
    <col min="2" max="2" width="12" customWidth="1"/>
    <col min="3" max="6" width="10.44140625" customWidth="1"/>
    <col min="7" max="7" width="10.109375" customWidth="1"/>
    <col min="8" max="8" width="10" customWidth="1"/>
    <col min="9" max="9" width="9.88671875" customWidth="1"/>
    <col min="10" max="10" width="9.5546875" customWidth="1"/>
    <col min="11" max="12" width="9.88671875" customWidth="1"/>
    <col min="13" max="13" width="10.5546875" customWidth="1"/>
    <col min="14" max="14" width="13.6640625" customWidth="1"/>
    <col min="15" max="15" width="15.33203125" customWidth="1"/>
    <col min="16" max="25" width="9.109375" customWidth="1"/>
  </cols>
  <sheetData>
    <row r="1" spans="1:27" ht="12.75" customHeigh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5" t="s">
        <v>9</v>
      </c>
      <c r="J3" s="4" t="s">
        <v>10</v>
      </c>
      <c r="K3" s="6" t="s">
        <v>11</v>
      </c>
      <c r="L3" s="7" t="s">
        <v>12</v>
      </c>
      <c r="M3" s="7" t="s">
        <v>14</v>
      </c>
      <c r="N3" s="8" t="s">
        <v>15</v>
      </c>
      <c r="O3" s="9" t="s">
        <v>62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10" t="s">
        <v>17</v>
      </c>
      <c r="B4" s="11">
        <v>-397470</v>
      </c>
      <c r="C4" s="11">
        <v>-1832266</v>
      </c>
      <c r="D4" s="12">
        <v>-102884.97</v>
      </c>
      <c r="E4" s="11">
        <v>-377028</v>
      </c>
      <c r="F4" s="12">
        <v>-9900</v>
      </c>
      <c r="G4" s="11">
        <v>-471853</v>
      </c>
      <c r="H4" s="11">
        <v>-347927</v>
      </c>
      <c r="I4" s="12">
        <v>-28350</v>
      </c>
      <c r="J4" s="11">
        <v>-7293</v>
      </c>
      <c r="K4" s="13">
        <v>-26880</v>
      </c>
      <c r="L4" s="14">
        <v>-1125</v>
      </c>
      <c r="M4" s="14">
        <f t="shared" ref="M4:M10" si="0">SUM(C4:L4)</f>
        <v>-3205506.9699999997</v>
      </c>
      <c r="N4" s="15">
        <f t="shared" ref="N4:N9" si="1">SUM(B4:L4)</f>
        <v>-3602976.97</v>
      </c>
      <c r="O4" s="15">
        <v>-3086908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>
      <c r="A5" s="10" t="s">
        <v>18</v>
      </c>
      <c r="B5" s="11">
        <v>-1266028.02</v>
      </c>
      <c r="C5" s="11">
        <v>-320000</v>
      </c>
      <c r="D5" s="12">
        <v>-21000</v>
      </c>
      <c r="E5" s="11">
        <v>-75900</v>
      </c>
      <c r="F5" s="12">
        <v>-140500</v>
      </c>
      <c r="G5" s="11">
        <v>-42305</v>
      </c>
      <c r="H5" s="11">
        <v>-192500</v>
      </c>
      <c r="I5" s="12">
        <v>-25000</v>
      </c>
      <c r="J5" s="11">
        <v>-80000</v>
      </c>
      <c r="K5" s="13">
        <v>-5000</v>
      </c>
      <c r="L5" s="14">
        <v>0</v>
      </c>
      <c r="M5" s="14">
        <f t="shared" si="0"/>
        <v>-902205</v>
      </c>
      <c r="N5" s="15">
        <f t="shared" si="1"/>
        <v>-2168233.02</v>
      </c>
      <c r="O5" s="15">
        <v>-1074000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>
      <c r="A6" s="16" t="s">
        <v>19</v>
      </c>
      <c r="B6" s="17">
        <v>-3600</v>
      </c>
      <c r="C6" s="17">
        <v>-308000</v>
      </c>
      <c r="D6" s="18">
        <v>-72800</v>
      </c>
      <c r="E6" s="17">
        <v>-18750</v>
      </c>
      <c r="F6" s="18">
        <v>-24500</v>
      </c>
      <c r="G6" s="17">
        <v>0</v>
      </c>
      <c r="H6" s="17">
        <v>-44736</v>
      </c>
      <c r="I6" s="18">
        <v>-11000</v>
      </c>
      <c r="J6" s="17">
        <v>-13000</v>
      </c>
      <c r="K6" s="19">
        <v>0</v>
      </c>
      <c r="L6" s="20">
        <v>0</v>
      </c>
      <c r="M6" s="20">
        <f t="shared" si="0"/>
        <v>-492786</v>
      </c>
      <c r="N6" s="21">
        <f t="shared" si="1"/>
        <v>-496386</v>
      </c>
      <c r="O6" s="21">
        <v>-570050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>
      <c r="A7" s="10" t="s">
        <v>20</v>
      </c>
      <c r="B7" s="11">
        <v>-1798096</v>
      </c>
      <c r="C7" s="11">
        <v>-751920</v>
      </c>
      <c r="D7" s="12">
        <v>-139519</v>
      </c>
      <c r="E7" s="11">
        <v>-116121</v>
      </c>
      <c r="F7" s="12">
        <v>-63704</v>
      </c>
      <c r="G7" s="11">
        <v>-173916</v>
      </c>
      <c r="H7" s="11">
        <v>-157725</v>
      </c>
      <c r="I7" s="12">
        <v>-53066</v>
      </c>
      <c r="J7" s="11">
        <v>-55505</v>
      </c>
      <c r="K7" s="13">
        <v>-77171</v>
      </c>
      <c r="L7" s="14">
        <v>-17698</v>
      </c>
      <c r="M7" s="14">
        <f t="shared" si="0"/>
        <v>-1606345</v>
      </c>
      <c r="N7" s="15">
        <f t="shared" si="1"/>
        <v>-3404441</v>
      </c>
      <c r="O7" s="15">
        <v>-3367294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>
      <c r="A8" s="10" t="s">
        <v>21</v>
      </c>
      <c r="B8" s="11">
        <v>-251565</v>
      </c>
      <c r="C8" s="11">
        <v>-231545</v>
      </c>
      <c r="D8" s="12">
        <v>-13000</v>
      </c>
      <c r="E8" s="11">
        <v>-17000</v>
      </c>
      <c r="F8" s="12">
        <v>-1710</v>
      </c>
      <c r="G8" s="11">
        <v>0</v>
      </c>
      <c r="H8" s="11">
        <v>-125900</v>
      </c>
      <c r="I8" s="12">
        <v>-10900</v>
      </c>
      <c r="J8" s="11">
        <v>0</v>
      </c>
      <c r="K8" s="13">
        <v>0</v>
      </c>
      <c r="L8" s="14">
        <v>0</v>
      </c>
      <c r="M8" s="14">
        <f t="shared" si="0"/>
        <v>-400055</v>
      </c>
      <c r="N8" s="15">
        <f t="shared" si="1"/>
        <v>-651620</v>
      </c>
      <c r="O8" s="15">
        <v>-638465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>
      <c r="A9" s="10" t="s">
        <v>22</v>
      </c>
      <c r="B9" s="11">
        <v>-430652</v>
      </c>
      <c r="C9" s="11">
        <v>-454869</v>
      </c>
      <c r="D9" s="12">
        <v>-148044</v>
      </c>
      <c r="E9" s="11">
        <v>-375201</v>
      </c>
      <c r="F9" s="12">
        <v>-88296</v>
      </c>
      <c r="G9" s="11">
        <v>-41396</v>
      </c>
      <c r="H9" s="11">
        <v>-29254</v>
      </c>
      <c r="I9" s="12">
        <v>-25715</v>
      </c>
      <c r="J9" s="11">
        <v>-41376</v>
      </c>
      <c r="K9" s="22">
        <v>-15000</v>
      </c>
      <c r="L9" s="23">
        <v>-15000</v>
      </c>
      <c r="M9" s="23">
        <f t="shared" si="0"/>
        <v>-1234151</v>
      </c>
      <c r="N9" s="24">
        <f t="shared" si="1"/>
        <v>-1664803</v>
      </c>
      <c r="O9" s="24">
        <v>-1674537.26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>
      <c r="A10" s="25" t="s">
        <v>23</v>
      </c>
      <c r="B10" s="26">
        <f t="shared" ref="B10:L10" si="2">SUM(B4:B9)</f>
        <v>-4147411.02</v>
      </c>
      <c r="C10" s="26">
        <f t="shared" si="2"/>
        <v>-3898600</v>
      </c>
      <c r="D10" s="27">
        <f t="shared" si="2"/>
        <v>-497247.97</v>
      </c>
      <c r="E10" s="26">
        <f t="shared" si="2"/>
        <v>-980000</v>
      </c>
      <c r="F10" s="27">
        <f t="shared" si="2"/>
        <v>-328610</v>
      </c>
      <c r="G10" s="26">
        <f t="shared" si="2"/>
        <v>-729470</v>
      </c>
      <c r="H10" s="26">
        <f t="shared" si="2"/>
        <v>-898042</v>
      </c>
      <c r="I10" s="27">
        <f t="shared" si="2"/>
        <v>-154031</v>
      </c>
      <c r="J10" s="26">
        <f t="shared" si="2"/>
        <v>-197174</v>
      </c>
      <c r="K10" s="28">
        <f t="shared" si="2"/>
        <v>-124051</v>
      </c>
      <c r="L10" s="29">
        <f t="shared" si="2"/>
        <v>-33823</v>
      </c>
      <c r="M10" s="30">
        <f t="shared" si="0"/>
        <v>-7841048.9699999997</v>
      </c>
      <c r="N10" s="32">
        <f>SUM(N4:N9)</f>
        <v>-11988459.99</v>
      </c>
      <c r="O10" s="32">
        <v>-10411254.26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5"/>
      <c r="O11" s="3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>
      <c r="A12" s="10" t="s">
        <v>25</v>
      </c>
      <c r="B12" s="12">
        <v>34930</v>
      </c>
      <c r="C12" s="12">
        <v>244120</v>
      </c>
      <c r="D12" s="12">
        <v>28000</v>
      </c>
      <c r="E12" s="12">
        <v>221710</v>
      </c>
      <c r="F12" s="12">
        <v>58372</v>
      </c>
      <c r="G12" s="12">
        <v>7160</v>
      </c>
      <c r="H12" s="12">
        <v>87767</v>
      </c>
      <c r="I12" s="12">
        <v>10688</v>
      </c>
      <c r="J12" s="37">
        <v>0</v>
      </c>
      <c r="K12" s="13">
        <v>0</v>
      </c>
      <c r="L12" s="14">
        <v>0</v>
      </c>
      <c r="M12" s="14">
        <f t="shared" ref="M12:M15" si="3">SUM(C12:L12)</f>
        <v>657817</v>
      </c>
      <c r="N12" s="15">
        <f t="shared" ref="N12:N14" si="4">SUM(B12:L12)</f>
        <v>692747</v>
      </c>
      <c r="O12" s="15">
        <v>374548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>
      <c r="A13" s="10" t="s">
        <v>26</v>
      </c>
      <c r="B13" s="12">
        <v>163100</v>
      </c>
      <c r="C13" s="12">
        <v>0</v>
      </c>
      <c r="D13" s="12">
        <v>6974</v>
      </c>
      <c r="E13" s="12">
        <v>4375</v>
      </c>
      <c r="F13" s="12">
        <v>0</v>
      </c>
      <c r="G13" s="12">
        <v>0</v>
      </c>
      <c r="H13" s="12">
        <v>0</v>
      </c>
      <c r="I13" s="12">
        <v>0</v>
      </c>
      <c r="J13" s="11">
        <v>0</v>
      </c>
      <c r="K13" s="13">
        <v>0</v>
      </c>
      <c r="L13" s="14">
        <v>0</v>
      </c>
      <c r="M13" s="14">
        <f t="shared" si="3"/>
        <v>11349</v>
      </c>
      <c r="N13" s="15">
        <f t="shared" si="4"/>
        <v>174449</v>
      </c>
      <c r="O13" s="15">
        <v>309984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>
      <c r="A14" s="10" t="s">
        <v>27</v>
      </c>
      <c r="B14" s="12">
        <v>0</v>
      </c>
      <c r="C14" s="12">
        <v>0</v>
      </c>
      <c r="D14" s="12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38">
        <v>0</v>
      </c>
      <c r="K14" s="13">
        <v>0</v>
      </c>
      <c r="L14" s="14">
        <v>0</v>
      </c>
      <c r="M14" s="14">
        <f t="shared" si="3"/>
        <v>0</v>
      </c>
      <c r="N14" s="15">
        <f t="shared" si="4"/>
        <v>0</v>
      </c>
      <c r="O14" s="15"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>
      <c r="A15" s="25" t="s">
        <v>28</v>
      </c>
      <c r="B15" s="27">
        <f t="shared" ref="B15:I15" si="5">SUM(B12:B14)</f>
        <v>198030</v>
      </c>
      <c r="C15" s="27">
        <f t="shared" si="5"/>
        <v>244120</v>
      </c>
      <c r="D15" s="27">
        <f t="shared" si="5"/>
        <v>34974</v>
      </c>
      <c r="E15" s="27">
        <f t="shared" si="5"/>
        <v>226085</v>
      </c>
      <c r="F15" s="27">
        <f t="shared" si="5"/>
        <v>58372</v>
      </c>
      <c r="G15" s="27">
        <f t="shared" si="5"/>
        <v>7160</v>
      </c>
      <c r="H15" s="27">
        <f t="shared" si="5"/>
        <v>87767</v>
      </c>
      <c r="I15" s="27">
        <f t="shared" si="5"/>
        <v>10688</v>
      </c>
      <c r="J15" s="26">
        <f>SUM(J13:J14)</f>
        <v>0</v>
      </c>
      <c r="K15" s="39">
        <f t="shared" ref="K15:L15" si="6">SUM(K12:K14)</f>
        <v>0</v>
      </c>
      <c r="L15" s="40">
        <f t="shared" si="6"/>
        <v>0</v>
      </c>
      <c r="M15" s="40">
        <f t="shared" si="3"/>
        <v>669166</v>
      </c>
      <c r="N15" s="41">
        <f>SUM(N12:N14)</f>
        <v>867196</v>
      </c>
      <c r="O15" s="41">
        <v>684532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2"/>
      <c r="N16" s="34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10" t="s">
        <v>29</v>
      </c>
      <c r="B17" s="11">
        <v>855379</v>
      </c>
      <c r="C17" s="11">
        <v>860038</v>
      </c>
      <c r="D17" s="11">
        <v>186276</v>
      </c>
      <c r="E17" s="11">
        <v>0</v>
      </c>
      <c r="F17" s="11">
        <v>40000</v>
      </c>
      <c r="G17" s="11">
        <v>323613</v>
      </c>
      <c r="H17" s="11">
        <v>100120</v>
      </c>
      <c r="I17" s="11">
        <v>13000</v>
      </c>
      <c r="J17" s="11">
        <v>7950</v>
      </c>
      <c r="K17" s="43">
        <v>7750</v>
      </c>
      <c r="L17" s="14">
        <v>0</v>
      </c>
      <c r="M17" s="14">
        <f t="shared" ref="M17:M21" si="7">SUM(C17:L17)</f>
        <v>1538747</v>
      </c>
      <c r="N17" s="15">
        <f t="shared" ref="N17:N20" si="8">SUM(B17:L17)</f>
        <v>2394126</v>
      </c>
      <c r="O17" s="15">
        <v>2335524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>
      <c r="A18" s="10" t="s">
        <v>30</v>
      </c>
      <c r="B18" s="11">
        <v>11657</v>
      </c>
      <c r="C18" s="11">
        <v>26650</v>
      </c>
      <c r="D18" s="11">
        <v>0</v>
      </c>
      <c r="E18" s="11">
        <v>6807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  <c r="L18" s="14">
        <v>0</v>
      </c>
      <c r="M18" s="14">
        <f t="shared" si="7"/>
        <v>33457</v>
      </c>
      <c r="N18" s="15">
        <f t="shared" si="8"/>
        <v>45114</v>
      </c>
      <c r="O18" s="15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10" t="s">
        <v>31</v>
      </c>
      <c r="B19" s="11">
        <v>100525</v>
      </c>
      <c r="C19" s="11">
        <v>117966</v>
      </c>
      <c r="D19" s="11">
        <v>22671</v>
      </c>
      <c r="E19" s="11">
        <v>0</v>
      </c>
      <c r="F19" s="11">
        <v>0</v>
      </c>
      <c r="G19" s="11">
        <v>0</v>
      </c>
      <c r="H19" s="11">
        <v>14117</v>
      </c>
      <c r="I19" s="11">
        <v>0</v>
      </c>
      <c r="J19" s="11">
        <v>0</v>
      </c>
      <c r="K19" s="13">
        <v>0</v>
      </c>
      <c r="L19" s="14">
        <v>0</v>
      </c>
      <c r="M19" s="14">
        <f t="shared" si="7"/>
        <v>154754</v>
      </c>
      <c r="N19" s="15">
        <f t="shared" si="8"/>
        <v>255279</v>
      </c>
      <c r="O19" s="15">
        <v>305337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10" t="s">
        <v>32</v>
      </c>
      <c r="B20" s="11">
        <v>17062</v>
      </c>
      <c r="C20" s="11">
        <v>68632</v>
      </c>
      <c r="D20" s="11">
        <v>1571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3">
        <v>0</v>
      </c>
      <c r="L20" s="14">
        <v>0</v>
      </c>
      <c r="M20" s="14">
        <f t="shared" si="7"/>
        <v>70203</v>
      </c>
      <c r="N20" s="15">
        <f t="shared" si="8"/>
        <v>87265</v>
      </c>
      <c r="O20" s="15">
        <v>95358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25" t="s">
        <v>33</v>
      </c>
      <c r="B21" s="26">
        <f t="shared" ref="B21:K21" si="9">SUM(B17:B20)</f>
        <v>984623</v>
      </c>
      <c r="C21" s="26">
        <f t="shared" si="9"/>
        <v>1073286</v>
      </c>
      <c r="D21" s="26">
        <f t="shared" si="9"/>
        <v>210518</v>
      </c>
      <c r="E21" s="26">
        <f t="shared" si="9"/>
        <v>6807</v>
      </c>
      <c r="F21" s="26">
        <f t="shared" si="9"/>
        <v>40000</v>
      </c>
      <c r="G21" s="26">
        <f t="shared" si="9"/>
        <v>323613</v>
      </c>
      <c r="H21" s="26">
        <f t="shared" si="9"/>
        <v>114237</v>
      </c>
      <c r="I21" s="27">
        <f t="shared" si="9"/>
        <v>13000</v>
      </c>
      <c r="J21" s="26">
        <f t="shared" si="9"/>
        <v>7950</v>
      </c>
      <c r="K21" s="39">
        <f t="shared" si="9"/>
        <v>7750</v>
      </c>
      <c r="L21" s="40">
        <v>0</v>
      </c>
      <c r="M21" s="40">
        <f t="shared" si="7"/>
        <v>1797161</v>
      </c>
      <c r="N21" s="41">
        <f>SUM(N17:N20)</f>
        <v>2781784</v>
      </c>
      <c r="O21" s="41">
        <v>2736219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10"/>
      <c r="B22" s="44"/>
      <c r="C22" s="45"/>
      <c r="D22" s="45"/>
      <c r="E22" s="45"/>
      <c r="F22" s="45"/>
      <c r="G22" s="45"/>
      <c r="H22" s="45"/>
      <c r="I22" s="45"/>
      <c r="J22" s="46"/>
      <c r="K22" s="47"/>
      <c r="L22" s="45"/>
      <c r="M22" s="48"/>
      <c r="N22" s="45"/>
      <c r="O22" s="4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25" t="s">
        <v>34</v>
      </c>
      <c r="B23" s="26">
        <v>2804292</v>
      </c>
      <c r="C23" s="49">
        <v>2792826</v>
      </c>
      <c r="D23" s="49">
        <v>262652</v>
      </c>
      <c r="E23" s="49">
        <v>662663</v>
      </c>
      <c r="F23" s="49">
        <v>138234</v>
      </c>
      <c r="G23" s="49">
        <v>323514</v>
      </c>
      <c r="H23" s="49">
        <v>630830</v>
      </c>
      <c r="I23" s="49">
        <v>99178</v>
      </c>
      <c r="J23" s="26">
        <v>108774</v>
      </c>
      <c r="K23" s="26">
        <v>88536</v>
      </c>
      <c r="L23" s="29">
        <v>54504</v>
      </c>
      <c r="M23" s="30">
        <f>SUM(C23:L23)</f>
        <v>5161711</v>
      </c>
      <c r="N23" s="32">
        <f>SUM(B23:L23)</f>
        <v>7966003</v>
      </c>
      <c r="O23" s="32">
        <v>5982235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45"/>
      <c r="M24" s="48"/>
      <c r="N24" s="45"/>
      <c r="O24" s="4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25" t="s">
        <v>35</v>
      </c>
      <c r="B25" s="26">
        <f t="shared" ref="B25:L25" si="10">B23+B21+B15</f>
        <v>3986945</v>
      </c>
      <c r="C25" s="26">
        <f t="shared" si="10"/>
        <v>4110232</v>
      </c>
      <c r="D25" s="26">
        <f t="shared" si="10"/>
        <v>508144</v>
      </c>
      <c r="E25" s="26">
        <f t="shared" si="10"/>
        <v>895555</v>
      </c>
      <c r="F25" s="26">
        <f t="shared" si="10"/>
        <v>236606</v>
      </c>
      <c r="G25" s="26">
        <f t="shared" si="10"/>
        <v>654287</v>
      </c>
      <c r="H25" s="26">
        <f t="shared" si="10"/>
        <v>832834</v>
      </c>
      <c r="I25" s="26">
        <f t="shared" si="10"/>
        <v>122866</v>
      </c>
      <c r="J25" s="26">
        <f t="shared" si="10"/>
        <v>116724</v>
      </c>
      <c r="K25" s="26">
        <f t="shared" si="10"/>
        <v>96286</v>
      </c>
      <c r="L25" s="26">
        <f t="shared" si="10"/>
        <v>54504</v>
      </c>
      <c r="M25" s="30">
        <f t="shared" ref="M25:M27" si="11">SUM(C25:L25)</f>
        <v>7628038</v>
      </c>
      <c r="N25" s="32">
        <f>N23+N21+N15</f>
        <v>11614983</v>
      </c>
      <c r="O25" s="32">
        <v>9402986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10" t="s">
        <v>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47"/>
      <c r="M26" s="14">
        <f t="shared" si="11"/>
        <v>0</v>
      </c>
      <c r="N26" s="15">
        <f>SUM(B26:L26)</f>
        <v>0</v>
      </c>
      <c r="O26" s="15">
        <v>111835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25" t="s">
        <v>63</v>
      </c>
      <c r="B27" s="26">
        <f t="shared" ref="B27:L27" si="12">B10+B25+B26</f>
        <v>-160466.02000000002</v>
      </c>
      <c r="C27" s="26">
        <f t="shared" si="12"/>
        <v>211632</v>
      </c>
      <c r="D27" s="26">
        <f t="shared" si="12"/>
        <v>10896.030000000028</v>
      </c>
      <c r="E27" s="26">
        <f t="shared" si="12"/>
        <v>-84445</v>
      </c>
      <c r="F27" s="26">
        <f t="shared" si="12"/>
        <v>-92004</v>
      </c>
      <c r="G27" s="26">
        <f t="shared" si="12"/>
        <v>-75183</v>
      </c>
      <c r="H27" s="26">
        <f t="shared" si="12"/>
        <v>-65208</v>
      </c>
      <c r="I27" s="26">
        <f t="shared" si="12"/>
        <v>-31165</v>
      </c>
      <c r="J27" s="26">
        <f t="shared" si="12"/>
        <v>-80450</v>
      </c>
      <c r="K27" s="26">
        <f t="shared" si="12"/>
        <v>-27765</v>
      </c>
      <c r="L27" s="26">
        <f t="shared" si="12"/>
        <v>20681</v>
      </c>
      <c r="M27" s="40">
        <f t="shared" si="11"/>
        <v>-213010.96999999997</v>
      </c>
      <c r="N27" s="41">
        <f>N10+N25+N26</f>
        <v>-373476.99000000022</v>
      </c>
      <c r="O27" s="41">
        <v>-896433.25999999978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53"/>
      <c r="N28" s="47"/>
      <c r="O28" s="5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54" t="s">
        <v>39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5"/>
      <c r="O29" s="5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57" t="s">
        <v>41</v>
      </c>
      <c r="B30" s="58">
        <v>100000</v>
      </c>
      <c r="C30" s="58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60">
        <v>0</v>
      </c>
      <c r="L30" s="14">
        <v>0</v>
      </c>
      <c r="M30" s="15">
        <f>SUM(C30:K30)</f>
        <v>0</v>
      </c>
      <c r="N30" s="61">
        <f t="shared" ref="N30:N33" si="13">SUM(B30:L30)</f>
        <v>100000</v>
      </c>
      <c r="O30" s="15">
        <v>100000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57" t="s">
        <v>42</v>
      </c>
      <c r="B31" s="11">
        <v>30905</v>
      </c>
      <c r="C31" s="11">
        <v>8326.11</v>
      </c>
      <c r="D31" s="47">
        <v>0</v>
      </c>
      <c r="E31" s="47">
        <v>38582</v>
      </c>
      <c r="F31" s="47">
        <v>48981</v>
      </c>
      <c r="G31" s="47">
        <v>0</v>
      </c>
      <c r="H31" s="47">
        <v>54440</v>
      </c>
      <c r="I31" s="47">
        <v>0</v>
      </c>
      <c r="J31" s="47">
        <v>0</v>
      </c>
      <c r="K31" s="14">
        <v>15307</v>
      </c>
      <c r="L31" s="14">
        <v>0</v>
      </c>
      <c r="M31" s="15">
        <f t="shared" ref="M31:M33" si="14">SUM(C31:L31)</f>
        <v>165636.10999999999</v>
      </c>
      <c r="N31" s="62">
        <f t="shared" si="13"/>
        <v>196541.11</v>
      </c>
      <c r="O31" s="15">
        <v>225534</v>
      </c>
      <c r="P31" s="63"/>
      <c r="Q31" s="63"/>
      <c r="R31" s="64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10" t="s">
        <v>43</v>
      </c>
      <c r="B32" s="11">
        <v>1177178</v>
      </c>
      <c r="C32" s="11">
        <v>2213212</v>
      </c>
      <c r="D32" s="47">
        <v>1112645</v>
      </c>
      <c r="E32" s="47">
        <v>957612</v>
      </c>
      <c r="F32" s="47">
        <v>541265</v>
      </c>
      <c r="G32" s="47">
        <v>1582910</v>
      </c>
      <c r="H32" s="47">
        <v>1169428</v>
      </c>
      <c r="I32" s="47">
        <v>322689</v>
      </c>
      <c r="J32" s="47">
        <v>570375</v>
      </c>
      <c r="K32" s="14">
        <v>415444.07</v>
      </c>
      <c r="L32" s="14">
        <v>41607.120000000003</v>
      </c>
      <c r="M32" s="15">
        <f t="shared" si="14"/>
        <v>8927187.1899999995</v>
      </c>
      <c r="N32" s="62">
        <f t="shared" si="13"/>
        <v>10104365.189999999</v>
      </c>
      <c r="O32" s="15">
        <v>9873290</v>
      </c>
      <c r="P32" s="64"/>
      <c r="Q32" s="64"/>
      <c r="R32" s="64"/>
      <c r="S32" s="65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10" t="s">
        <v>44</v>
      </c>
      <c r="B33" s="85">
        <v>17540</v>
      </c>
      <c r="C33" s="11"/>
      <c r="D33" s="46">
        <v>40600</v>
      </c>
      <c r="E33" s="47"/>
      <c r="F33" s="47"/>
      <c r="G33" s="46">
        <v>79548</v>
      </c>
      <c r="H33" s="46">
        <v>141954</v>
      </c>
      <c r="I33" s="47"/>
      <c r="J33" s="47"/>
      <c r="K33" s="14"/>
      <c r="L33" s="14"/>
      <c r="M33" s="15">
        <f t="shared" si="14"/>
        <v>262102</v>
      </c>
      <c r="N33" s="62">
        <f t="shared" si="13"/>
        <v>279642</v>
      </c>
      <c r="O33" s="15">
        <v>451395.28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10" t="s">
        <v>45</v>
      </c>
      <c r="B34" s="11">
        <v>207231</v>
      </c>
      <c r="C34" s="11">
        <v>-65023</v>
      </c>
      <c r="D34" s="47">
        <v>41551</v>
      </c>
      <c r="E34" s="47">
        <v>7598</v>
      </c>
      <c r="F34" s="47">
        <v>11647</v>
      </c>
      <c r="G34" s="47">
        <v>68258</v>
      </c>
      <c r="H34" s="47">
        <v>-25233</v>
      </c>
      <c r="I34" s="47">
        <v>2326</v>
      </c>
      <c r="J34" s="47">
        <v>-58684</v>
      </c>
      <c r="K34" s="14">
        <v>788</v>
      </c>
      <c r="L34" s="14">
        <v>7244</v>
      </c>
      <c r="M34" s="15"/>
      <c r="N34" s="62">
        <f>SUM(B34:M34)</f>
        <v>197703</v>
      </c>
      <c r="O34" s="15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>
      <c r="A35" s="10" t="s">
        <v>46</v>
      </c>
      <c r="B35" s="17">
        <v>378764</v>
      </c>
      <c r="C35" s="17">
        <v>121049</v>
      </c>
      <c r="D35" s="35">
        <v>14125</v>
      </c>
      <c r="E35" s="35">
        <v>34350</v>
      </c>
      <c r="F35" s="35">
        <v>72845</v>
      </c>
      <c r="G35" s="35">
        <v>0</v>
      </c>
      <c r="H35" s="35">
        <v>0</v>
      </c>
      <c r="I35" s="35">
        <v>0</v>
      </c>
      <c r="J35" s="35">
        <v>31250</v>
      </c>
      <c r="K35" s="20">
        <v>0</v>
      </c>
      <c r="L35" s="20">
        <v>0</v>
      </c>
      <c r="M35" s="21">
        <f t="shared" ref="M35:M37" si="15">SUM(C35:L35)</f>
        <v>273619</v>
      </c>
      <c r="N35" s="66">
        <f>SUM(B35:L35)</f>
        <v>652383</v>
      </c>
      <c r="O35" s="21">
        <v>299904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>
      <c r="A36" s="67" t="s">
        <v>47</v>
      </c>
      <c r="B36" s="68">
        <f t="shared" ref="B36:L36" si="16">SUM(B30:B35)</f>
        <v>1911618</v>
      </c>
      <c r="C36" s="69">
        <f t="shared" si="16"/>
        <v>2277564.11</v>
      </c>
      <c r="D36" s="70">
        <f t="shared" si="16"/>
        <v>1208921</v>
      </c>
      <c r="E36" s="70">
        <f t="shared" si="16"/>
        <v>1038142</v>
      </c>
      <c r="F36" s="70">
        <f t="shared" si="16"/>
        <v>674738</v>
      </c>
      <c r="G36" s="70">
        <f t="shared" si="16"/>
        <v>1730716</v>
      </c>
      <c r="H36" s="70">
        <f t="shared" si="16"/>
        <v>1340589</v>
      </c>
      <c r="I36" s="70">
        <f t="shared" si="16"/>
        <v>325015</v>
      </c>
      <c r="J36" s="70">
        <f t="shared" si="16"/>
        <v>542941</v>
      </c>
      <c r="K36" s="71">
        <f t="shared" si="16"/>
        <v>431539.07</v>
      </c>
      <c r="L36" s="71">
        <f t="shared" si="16"/>
        <v>48851.12</v>
      </c>
      <c r="M36" s="72">
        <f t="shared" si="15"/>
        <v>9619016.2999999989</v>
      </c>
      <c r="N36" s="80">
        <f t="shared" ref="N36:O36" si="17">SUM(N30:N35)</f>
        <v>11530634.299999999</v>
      </c>
      <c r="O36" s="72">
        <f t="shared" si="17"/>
        <v>10950123.279999999</v>
      </c>
      <c r="P36" s="2"/>
      <c r="Q36" s="65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10" t="s">
        <v>49</v>
      </c>
      <c r="B37" s="74">
        <f>1153081+160466</f>
        <v>1313547</v>
      </c>
      <c r="C37" s="47">
        <v>1704560</v>
      </c>
      <c r="D37" s="47">
        <v>1118149</v>
      </c>
      <c r="E37" s="47">
        <v>821431</v>
      </c>
      <c r="F37" s="47">
        <v>664872</v>
      </c>
      <c r="G37" s="47">
        <v>1679020</v>
      </c>
      <c r="H37" s="47">
        <v>1059653</v>
      </c>
      <c r="I37" s="47">
        <v>299833</v>
      </c>
      <c r="J37" s="47">
        <v>526555</v>
      </c>
      <c r="K37" s="14">
        <v>431311</v>
      </c>
      <c r="L37" s="14">
        <v>42666</v>
      </c>
      <c r="M37" s="15">
        <f t="shared" si="15"/>
        <v>8348050</v>
      </c>
      <c r="N37" s="62">
        <f>SUM(B37:L37)</f>
        <v>9661597</v>
      </c>
      <c r="O37" s="15">
        <v>9288120</v>
      </c>
      <c r="P37" s="2"/>
      <c r="Q37" s="2"/>
      <c r="R37" s="65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10" t="s">
        <v>45</v>
      </c>
      <c r="B38" s="12"/>
      <c r="C38" s="47"/>
      <c r="D38" s="47"/>
      <c r="E38" s="47"/>
      <c r="F38" s="47"/>
      <c r="G38" s="47"/>
      <c r="H38" s="47"/>
      <c r="I38" s="47"/>
      <c r="J38" s="47"/>
      <c r="K38" s="14"/>
      <c r="L38" s="14"/>
      <c r="M38" s="15"/>
      <c r="N38" s="62"/>
      <c r="O38" s="15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10" t="s">
        <v>51</v>
      </c>
      <c r="B39" s="12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14">
        <v>0</v>
      </c>
      <c r="L39" s="47">
        <v>0</v>
      </c>
      <c r="M39" s="15">
        <f t="shared" ref="M39:M42" si="18">SUM(C39:L39)</f>
        <v>0</v>
      </c>
      <c r="N39" s="62">
        <f t="shared" ref="N39:N41" si="19">SUM(B39:L39)</f>
        <v>0</v>
      </c>
      <c r="O39" s="15">
        <v>268209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10" t="s">
        <v>52</v>
      </c>
      <c r="B40" s="12">
        <v>193159.95</v>
      </c>
      <c r="C40" s="47">
        <v>327471</v>
      </c>
      <c r="D40" s="47">
        <v>52373</v>
      </c>
      <c r="E40" s="47">
        <v>43852</v>
      </c>
      <c r="F40" s="47">
        <v>9866</v>
      </c>
      <c r="G40" s="47">
        <v>10829</v>
      </c>
      <c r="H40" s="47">
        <v>45684</v>
      </c>
      <c r="I40" s="47">
        <v>25182</v>
      </c>
      <c r="J40" s="47">
        <v>16386</v>
      </c>
      <c r="K40" s="14">
        <v>228</v>
      </c>
      <c r="L40" s="14">
        <v>3177</v>
      </c>
      <c r="M40" s="15">
        <f t="shared" si="18"/>
        <v>535048</v>
      </c>
      <c r="N40" s="62">
        <f t="shared" si="19"/>
        <v>728207.95</v>
      </c>
      <c r="O40" s="15">
        <v>439023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10" t="s">
        <v>54</v>
      </c>
      <c r="B41" s="18">
        <v>404911</v>
      </c>
      <c r="C41" s="47">
        <v>245533</v>
      </c>
      <c r="D41" s="47">
        <v>38399</v>
      </c>
      <c r="E41" s="47">
        <v>172859</v>
      </c>
      <c r="F41" s="47">
        <v>0</v>
      </c>
      <c r="G41" s="47">
        <v>40867</v>
      </c>
      <c r="H41" s="47">
        <v>235252</v>
      </c>
      <c r="I41" s="47">
        <v>0</v>
      </c>
      <c r="J41" s="47">
        <v>0</v>
      </c>
      <c r="K41" s="14">
        <v>0</v>
      </c>
      <c r="L41" s="14">
        <v>3008</v>
      </c>
      <c r="M41" s="15">
        <f t="shared" si="18"/>
        <v>735918</v>
      </c>
      <c r="N41" s="62">
        <f t="shared" si="19"/>
        <v>1140829</v>
      </c>
      <c r="O41" s="15">
        <v>954771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79" t="s">
        <v>56</v>
      </c>
      <c r="B42" s="49">
        <f t="shared" ref="B42:L42" si="20">SUM(B37:B41)</f>
        <v>1911617.95</v>
      </c>
      <c r="C42" s="69">
        <f t="shared" si="20"/>
        <v>2277564</v>
      </c>
      <c r="D42" s="70">
        <f t="shared" si="20"/>
        <v>1208921</v>
      </c>
      <c r="E42" s="70">
        <f t="shared" si="20"/>
        <v>1038142</v>
      </c>
      <c r="F42" s="70">
        <f t="shared" si="20"/>
        <v>674738</v>
      </c>
      <c r="G42" s="70">
        <f t="shared" si="20"/>
        <v>1730716</v>
      </c>
      <c r="H42" s="70">
        <f t="shared" si="20"/>
        <v>1340589</v>
      </c>
      <c r="I42" s="70">
        <f t="shared" si="20"/>
        <v>325015</v>
      </c>
      <c r="J42" s="70">
        <f t="shared" si="20"/>
        <v>542941</v>
      </c>
      <c r="K42" s="71">
        <f t="shared" si="20"/>
        <v>431539</v>
      </c>
      <c r="L42" s="71">
        <f t="shared" si="20"/>
        <v>48851</v>
      </c>
      <c r="M42" s="72">
        <f t="shared" si="18"/>
        <v>9619016</v>
      </c>
      <c r="N42" s="80">
        <f t="shared" ref="N42:O42" si="21">SUM(N37:N41)</f>
        <v>11530633.949999999</v>
      </c>
      <c r="O42" s="72">
        <f t="shared" si="21"/>
        <v>10950123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B44" s="81"/>
      <c r="C44" s="57" t="s">
        <v>57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4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2"/>
      <c r="B46" s="82"/>
      <c r="C46" s="57" t="s">
        <v>58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2"/>
      <c r="B47" s="83"/>
      <c r="C47" s="57" t="s">
        <v>59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2"/>
      <c r="B49" s="84"/>
      <c r="C49" s="57" t="s">
        <v>60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customHeight="1"/>
    <row r="230" spans="1:24" ht="12.75" customHeight="1"/>
    <row r="231" spans="1:24" ht="12.75" customHeight="1"/>
    <row r="232" spans="1:24" ht="12.75" customHeight="1"/>
    <row r="233" spans="1:24" ht="12.75" customHeight="1"/>
    <row r="234" spans="1:24" ht="12.75" customHeight="1"/>
    <row r="235" spans="1:24" ht="12.75" customHeight="1"/>
    <row r="236" spans="1:24" ht="12.75" customHeight="1"/>
    <row r="237" spans="1:24" ht="12.75" customHeight="1"/>
    <row r="238" spans="1:24" ht="12.75" customHeight="1"/>
    <row r="239" spans="1:24" ht="12.75" customHeight="1"/>
    <row r="240" spans="1:24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baseColWidth="10" defaultColWidth="14.44140625" defaultRowHeight="15" customHeight="1"/>
  <cols>
    <col min="1" max="1" width="10.6640625" customWidth="1"/>
    <col min="2" max="2" width="80.33203125" customWidth="1"/>
    <col min="3" max="3" width="10.6640625" customWidth="1"/>
    <col min="4" max="4" width="11.6640625" customWidth="1"/>
    <col min="5" max="5" width="11.5546875" customWidth="1"/>
    <col min="6" max="26" width="10.6640625" customWidth="1"/>
  </cols>
  <sheetData>
    <row r="1" spans="1:9" ht="12.75" customHeight="1">
      <c r="A1" s="86" t="s">
        <v>64</v>
      </c>
      <c r="B1" s="87"/>
      <c r="C1" s="87"/>
      <c r="D1" s="87"/>
      <c r="E1" s="87"/>
      <c r="F1" s="87"/>
      <c r="G1" s="87"/>
      <c r="H1" s="87"/>
      <c r="I1" s="87"/>
    </row>
    <row r="2" spans="1:9" ht="12.75" customHeight="1">
      <c r="A2" s="86" t="s">
        <v>65</v>
      </c>
      <c r="B2" s="87"/>
      <c r="C2" s="87"/>
      <c r="D2" s="87"/>
      <c r="E2" s="87"/>
      <c r="F2" s="87"/>
      <c r="G2" s="87"/>
      <c r="H2" s="87"/>
      <c r="I2" s="87"/>
    </row>
    <row r="3" spans="1:9" ht="12.7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>
      <c r="A4" s="88" t="s">
        <v>66</v>
      </c>
      <c r="B4" s="87"/>
      <c r="C4" s="87"/>
      <c r="D4" s="87"/>
      <c r="E4" s="87"/>
      <c r="F4" s="87"/>
      <c r="G4" s="87"/>
      <c r="H4" s="87"/>
      <c r="I4" s="87"/>
    </row>
    <row r="5" spans="1:9" ht="12.75" customHeight="1">
      <c r="A5" s="87"/>
      <c r="B5" s="89" t="s">
        <v>67</v>
      </c>
      <c r="C5" s="87"/>
      <c r="D5" s="87"/>
      <c r="E5" s="87"/>
      <c r="F5" s="87"/>
      <c r="G5" s="87"/>
      <c r="H5" s="87"/>
      <c r="I5" s="87"/>
    </row>
    <row r="6" spans="1:9" ht="12.75" customHeight="1">
      <c r="A6" s="87"/>
      <c r="B6" s="89" t="s">
        <v>68</v>
      </c>
      <c r="C6" s="87"/>
      <c r="D6" s="87"/>
      <c r="E6" s="87"/>
      <c r="F6" s="87"/>
      <c r="G6" s="90"/>
      <c r="H6" s="87"/>
      <c r="I6" s="87"/>
    </row>
    <row r="7" spans="1:9" ht="12.75" customHeight="1">
      <c r="A7" s="87"/>
      <c r="B7" s="89" t="s">
        <v>69</v>
      </c>
      <c r="C7" s="87"/>
      <c r="D7" s="87"/>
      <c r="E7" s="87"/>
      <c r="F7" s="87"/>
      <c r="G7" s="90"/>
      <c r="H7" s="87"/>
      <c r="I7" s="87"/>
    </row>
    <row r="8" spans="1:9" ht="12.75" customHeight="1">
      <c r="A8" s="87"/>
      <c r="B8" s="89" t="s">
        <v>70</v>
      </c>
      <c r="C8" s="87"/>
      <c r="D8" s="87"/>
      <c r="E8" s="87"/>
      <c r="F8" s="87"/>
      <c r="G8" s="90"/>
      <c r="H8" s="87"/>
      <c r="I8" s="87"/>
    </row>
    <row r="9" spans="1:9" ht="12.75" customHeight="1">
      <c r="A9" s="87"/>
      <c r="B9" s="87"/>
      <c r="C9" s="87"/>
      <c r="D9" s="87"/>
      <c r="E9" s="87"/>
      <c r="F9" s="87"/>
      <c r="G9" s="87"/>
      <c r="H9" s="87"/>
      <c r="I9" s="87"/>
    </row>
    <row r="10" spans="1:9" ht="12.75" customHeight="1">
      <c r="A10" s="88" t="s">
        <v>71</v>
      </c>
      <c r="B10" s="87"/>
      <c r="C10" s="87"/>
      <c r="D10" s="87"/>
      <c r="E10" s="87"/>
      <c r="F10" s="87"/>
      <c r="G10" s="87"/>
      <c r="H10" s="87"/>
      <c r="I10" s="87"/>
    </row>
    <row r="11" spans="1:9" ht="12.75" customHeight="1">
      <c r="A11" s="87"/>
      <c r="B11" s="87"/>
      <c r="C11" s="87"/>
      <c r="D11" s="87"/>
      <c r="E11" s="91"/>
      <c r="F11" s="87"/>
      <c r="G11" s="87"/>
      <c r="H11" s="87"/>
      <c r="I11" s="87"/>
    </row>
    <row r="12" spans="1:9" ht="12.75" customHeight="1">
      <c r="A12" s="87"/>
      <c r="B12" s="89" t="s">
        <v>29</v>
      </c>
      <c r="C12" s="92">
        <v>2188370</v>
      </c>
      <c r="D12" s="91"/>
      <c r="E12" s="91"/>
      <c r="F12" s="87"/>
      <c r="G12" s="87"/>
      <c r="H12" s="87"/>
      <c r="I12" s="87"/>
    </row>
    <row r="13" spans="1:9" ht="12.75" customHeight="1">
      <c r="A13" s="87"/>
      <c r="B13" s="89" t="s">
        <v>72</v>
      </c>
      <c r="C13" s="92">
        <v>239224</v>
      </c>
      <c r="D13" s="87"/>
      <c r="E13" s="87"/>
      <c r="F13" s="87"/>
      <c r="G13" s="87"/>
      <c r="H13" s="87"/>
      <c r="I13" s="87"/>
    </row>
    <row r="14" spans="1:9" ht="12.75" customHeight="1">
      <c r="A14" s="87"/>
      <c r="B14" s="89" t="s">
        <v>73</v>
      </c>
      <c r="C14" s="92">
        <v>269401</v>
      </c>
      <c r="D14" s="87"/>
      <c r="E14" s="87"/>
      <c r="F14" s="87"/>
      <c r="G14" s="87"/>
      <c r="H14" s="87"/>
      <c r="I14" s="87"/>
    </row>
    <row r="15" spans="1:9" ht="12.75" customHeight="1">
      <c r="A15" s="87"/>
      <c r="B15" s="89" t="s">
        <v>74</v>
      </c>
      <c r="C15" s="93">
        <v>124931</v>
      </c>
      <c r="D15" s="87"/>
      <c r="E15" s="87"/>
      <c r="F15" s="87"/>
      <c r="G15" s="87"/>
      <c r="H15" s="81"/>
      <c r="I15" s="94" t="s">
        <v>57</v>
      </c>
    </row>
    <row r="16" spans="1:9" ht="12.75" customHeight="1">
      <c r="A16" s="87"/>
      <c r="B16" s="89" t="s">
        <v>75</v>
      </c>
      <c r="C16" s="95">
        <f>SUM(C12:C15)</f>
        <v>2821926</v>
      </c>
      <c r="D16" s="96"/>
      <c r="E16" s="91"/>
      <c r="F16" s="87"/>
      <c r="G16" s="90"/>
      <c r="H16" s="82"/>
      <c r="I16" s="94" t="s">
        <v>76</v>
      </c>
    </row>
    <row r="17" spans="1:9" ht="12.75" customHeight="1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2.75" customHeight="1">
      <c r="A18" s="87"/>
      <c r="B18" s="89" t="s">
        <v>77</v>
      </c>
      <c r="C18" s="97">
        <v>4</v>
      </c>
      <c r="D18" s="87"/>
      <c r="E18" s="87"/>
      <c r="F18" s="87"/>
      <c r="G18" s="87"/>
      <c r="H18" s="98"/>
      <c r="I18" s="94" t="s">
        <v>78</v>
      </c>
    </row>
    <row r="19" spans="1:9" ht="12.75" customHeight="1">
      <c r="A19" s="87"/>
      <c r="B19" s="87"/>
      <c r="C19" s="87"/>
      <c r="D19" s="87"/>
      <c r="E19" s="87"/>
      <c r="F19" s="87"/>
      <c r="G19" s="87"/>
      <c r="H19" s="87"/>
      <c r="I19" s="87"/>
    </row>
    <row r="20" spans="1:9" ht="12.75" customHeight="1">
      <c r="A20" s="87"/>
      <c r="B20" s="89" t="s">
        <v>79</v>
      </c>
      <c r="C20" s="87"/>
      <c r="D20" s="87"/>
      <c r="E20" s="87"/>
      <c r="F20" s="87"/>
      <c r="G20" s="90"/>
      <c r="H20" s="87"/>
      <c r="I20" s="87"/>
    </row>
    <row r="21" spans="1:9" ht="12.75" customHeight="1">
      <c r="A21" s="87"/>
      <c r="B21" s="89" t="s">
        <v>80</v>
      </c>
      <c r="C21" s="82">
        <v>0</v>
      </c>
      <c r="D21" s="94" t="s">
        <v>81</v>
      </c>
      <c r="E21" s="87"/>
      <c r="F21" s="87"/>
      <c r="G21" s="90"/>
      <c r="H21" s="87"/>
      <c r="I21" s="87"/>
    </row>
    <row r="22" spans="1:9" ht="12.75" customHeight="1">
      <c r="A22" s="87"/>
      <c r="B22" s="89"/>
      <c r="C22" s="87"/>
      <c r="D22" s="87"/>
      <c r="E22" s="87"/>
      <c r="F22" s="87"/>
      <c r="G22" s="87"/>
      <c r="H22" s="87"/>
      <c r="I22" s="87"/>
    </row>
    <row r="23" spans="1:9" ht="12.75" customHeight="1">
      <c r="A23" s="88" t="s">
        <v>82</v>
      </c>
      <c r="B23" s="88"/>
      <c r="C23" s="87"/>
      <c r="D23" s="87"/>
      <c r="E23" s="87"/>
      <c r="F23" s="87"/>
      <c r="G23" s="87"/>
      <c r="H23" s="87"/>
      <c r="I23" s="87"/>
    </row>
    <row r="24" spans="1:9" ht="12.75" customHeight="1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12.75" customHeight="1">
      <c r="A25" s="87"/>
      <c r="B25" s="89" t="s">
        <v>83</v>
      </c>
      <c r="C25" s="99">
        <v>2213</v>
      </c>
      <c r="D25" s="94" t="s">
        <v>84</v>
      </c>
      <c r="E25" s="87"/>
      <c r="F25" s="87"/>
      <c r="G25" s="90"/>
      <c r="H25" s="87"/>
      <c r="I25" s="87"/>
    </row>
    <row r="26" spans="1:9" ht="12.75" customHeight="1">
      <c r="A26" s="87"/>
      <c r="B26" s="94"/>
      <c r="C26" s="87"/>
      <c r="D26" s="87"/>
      <c r="E26" s="87"/>
      <c r="F26" s="87"/>
      <c r="G26" s="87"/>
      <c r="H26" s="87"/>
      <c r="I26" s="87"/>
    </row>
    <row r="27" spans="1:9" ht="12.75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2.75" customHeight="1">
      <c r="A28" s="88" t="s">
        <v>85</v>
      </c>
      <c r="B28" s="87"/>
      <c r="C28" s="87"/>
      <c r="D28" s="87"/>
      <c r="E28" s="87"/>
      <c r="F28" s="87"/>
      <c r="G28" s="87"/>
      <c r="H28" s="87"/>
      <c r="I28" s="87"/>
    </row>
    <row r="29" spans="1:9" ht="12.75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12.75" customHeight="1">
      <c r="A30" s="87"/>
      <c r="B30" s="89" t="s">
        <v>86</v>
      </c>
      <c r="C30" s="93">
        <v>100000</v>
      </c>
      <c r="D30" s="87"/>
      <c r="E30" s="87"/>
      <c r="F30" s="87"/>
      <c r="G30" s="90"/>
      <c r="H30" s="87"/>
      <c r="I30" s="87"/>
    </row>
    <row r="31" spans="1:9" ht="12.75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12.75" customHeight="1">
      <c r="A32" s="87"/>
      <c r="B32" s="89" t="s">
        <v>87</v>
      </c>
      <c r="C32" s="87"/>
      <c r="D32" s="87"/>
      <c r="E32" s="87"/>
      <c r="F32" s="87"/>
      <c r="G32" s="90"/>
      <c r="H32" s="87"/>
      <c r="I32" s="87"/>
    </row>
    <row r="33" spans="1:7" ht="12.75" customHeight="1">
      <c r="A33" s="87"/>
      <c r="B33" s="87"/>
      <c r="C33" s="87"/>
      <c r="D33" s="87"/>
      <c r="E33" s="87"/>
      <c r="F33" s="87"/>
      <c r="G33" s="87"/>
    </row>
    <row r="34" spans="1:7" ht="12.75" customHeight="1">
      <c r="A34" s="87"/>
      <c r="B34" s="87"/>
      <c r="C34" s="87"/>
      <c r="D34" s="87"/>
      <c r="E34" s="87"/>
      <c r="F34" s="87"/>
      <c r="G34" s="87"/>
    </row>
    <row r="35" spans="1:7" ht="12.75" customHeight="1">
      <c r="A35" s="88" t="s">
        <v>88</v>
      </c>
      <c r="B35" s="87"/>
      <c r="C35" s="87"/>
      <c r="D35" s="87"/>
      <c r="E35" s="87"/>
      <c r="F35" s="87"/>
      <c r="G35" s="87"/>
    </row>
    <row r="36" spans="1:7" ht="12.75" customHeight="1">
      <c r="A36" s="87"/>
      <c r="B36" s="87"/>
      <c r="C36" s="87"/>
      <c r="D36" s="87"/>
      <c r="E36" s="87"/>
      <c r="F36" s="87"/>
      <c r="G36" s="87"/>
    </row>
    <row r="37" spans="1:7" ht="12.75" customHeight="1">
      <c r="A37" s="87"/>
      <c r="B37" s="89" t="s">
        <v>89</v>
      </c>
      <c r="C37" s="92">
        <v>4054</v>
      </c>
      <c r="D37" s="87"/>
      <c r="E37" s="87"/>
      <c r="F37" s="87"/>
      <c r="G37" s="87"/>
    </row>
    <row r="38" spans="1:7" ht="12.75" customHeight="1">
      <c r="A38" s="87"/>
      <c r="B38" s="89" t="s">
        <v>90</v>
      </c>
      <c r="C38" s="93">
        <v>223645</v>
      </c>
      <c r="D38" s="87"/>
      <c r="E38" s="87"/>
      <c r="F38" s="87"/>
      <c r="G38" s="87"/>
    </row>
    <row r="39" spans="1:7" ht="12.75" customHeight="1">
      <c r="A39" s="87"/>
      <c r="B39" s="89" t="s">
        <v>91</v>
      </c>
      <c r="C39" s="95">
        <f>SUM(C37:C38)</f>
        <v>227699</v>
      </c>
      <c r="D39" s="87"/>
      <c r="E39" s="87"/>
      <c r="F39" s="87"/>
      <c r="G39" s="87"/>
    </row>
    <row r="40" spans="1:7" ht="12.75" customHeight="1">
      <c r="A40" s="87"/>
      <c r="B40" s="87"/>
      <c r="C40" s="87"/>
      <c r="D40" s="87"/>
      <c r="E40" s="87"/>
      <c r="F40" s="87"/>
      <c r="G40" s="87"/>
    </row>
    <row r="41" spans="1:7" ht="12.75" customHeight="1">
      <c r="A41" s="88" t="s">
        <v>92</v>
      </c>
      <c r="B41" s="87"/>
      <c r="C41" s="87"/>
      <c r="D41" s="87"/>
      <c r="E41" s="87"/>
      <c r="F41" s="87"/>
      <c r="G41" s="87"/>
    </row>
    <row r="42" spans="1:7" ht="12.75" customHeight="1">
      <c r="A42" s="87"/>
      <c r="B42" s="87"/>
      <c r="C42" s="87"/>
      <c r="D42" s="87"/>
      <c r="E42" s="87"/>
      <c r="F42" s="87"/>
      <c r="G42" s="87"/>
    </row>
    <row r="43" spans="1:7" ht="12.75" customHeight="1">
      <c r="A43" s="87"/>
      <c r="B43" s="100" t="s">
        <v>93</v>
      </c>
      <c r="C43" s="78">
        <v>9381406</v>
      </c>
      <c r="D43" s="89"/>
      <c r="E43" s="87"/>
      <c r="F43" s="87"/>
      <c r="G43" s="78"/>
    </row>
    <row r="44" spans="1:7" ht="12.75" customHeight="1">
      <c r="A44" s="87"/>
      <c r="B44" s="89" t="s">
        <v>94</v>
      </c>
      <c r="C44" s="78">
        <v>993312</v>
      </c>
      <c r="D44" s="96"/>
      <c r="E44" s="87"/>
      <c r="F44" s="87"/>
      <c r="G44" s="90"/>
    </row>
    <row r="45" spans="1:7" ht="12.75" customHeight="1">
      <c r="A45" s="87"/>
      <c r="B45" s="89" t="s">
        <v>95</v>
      </c>
      <c r="C45" s="78">
        <v>0</v>
      </c>
      <c r="D45" s="96"/>
      <c r="E45" s="87"/>
      <c r="F45" s="87"/>
      <c r="G45" s="90"/>
    </row>
    <row r="46" spans="1:7" ht="12.75" customHeight="1">
      <c r="A46" s="87"/>
      <c r="B46" s="89" t="s">
        <v>96</v>
      </c>
      <c r="C46" s="101">
        <f>SUM(C43:C45)</f>
        <v>10374718</v>
      </c>
      <c r="D46" s="96"/>
      <c r="E46" s="78"/>
      <c r="F46" s="87"/>
      <c r="G46" s="90"/>
    </row>
    <row r="47" spans="1:7" ht="12.75" customHeight="1">
      <c r="A47" s="87"/>
      <c r="B47" s="87"/>
      <c r="C47" s="87"/>
      <c r="D47" s="87"/>
      <c r="E47" s="87"/>
      <c r="F47" s="87"/>
      <c r="G47" s="87"/>
    </row>
    <row r="48" spans="1:7" ht="12.75" customHeight="1">
      <c r="A48" s="87"/>
      <c r="B48" s="87"/>
      <c r="C48" s="87"/>
      <c r="D48" s="87"/>
      <c r="E48" s="87"/>
      <c r="F48" s="87"/>
      <c r="G48" s="87"/>
    </row>
    <row r="49" spans="3:3" ht="12.75" customHeight="1">
      <c r="C49" s="87"/>
    </row>
    <row r="50" spans="3:3" ht="12.75" customHeight="1">
      <c r="C50" s="87"/>
    </row>
    <row r="51" spans="3:3" ht="12.75" customHeight="1">
      <c r="C51" s="78"/>
    </row>
    <row r="52" spans="3:3" ht="12.75" customHeight="1">
      <c r="C52" s="87"/>
    </row>
    <row r="53" spans="3:3" ht="12.75" customHeight="1">
      <c r="C53" s="94"/>
    </row>
    <row r="54" spans="3:3" ht="12.75" customHeight="1">
      <c r="C54" s="87"/>
    </row>
    <row r="55" spans="3:3" ht="12.75" customHeight="1">
      <c r="C55" s="87"/>
    </row>
    <row r="56" spans="3:3" ht="12.75" customHeight="1">
      <c r="C56" s="78"/>
    </row>
    <row r="57" spans="3:3" ht="12.75" customHeight="1">
      <c r="C57" s="87"/>
    </row>
    <row r="58" spans="3:3" ht="12.75" customHeight="1">
      <c r="C58" s="87"/>
    </row>
    <row r="59" spans="3:3" ht="12.75" customHeight="1">
      <c r="C59" s="87"/>
    </row>
    <row r="60" spans="3:3" ht="12.75" customHeight="1">
      <c r="C60" s="87"/>
    </row>
    <row r="61" spans="3:3" ht="12.75" customHeight="1">
      <c r="C61" s="87"/>
    </row>
    <row r="62" spans="3:3" ht="12.75" customHeight="1">
      <c r="C62" s="87"/>
    </row>
    <row r="63" spans="3:3" ht="12.75" customHeight="1">
      <c r="C63" s="87"/>
    </row>
    <row r="64" spans="3:3" ht="12.75" customHeight="1">
      <c r="C64" s="87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Regnskap 2023</vt:lpstr>
      <vt:lpstr>Regnskap 2022</vt:lpstr>
      <vt:lpstr>Noter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Marius Berg</cp:lastModifiedBy>
  <dcterms:created xsi:type="dcterms:W3CDTF">2012-05-12T16:17:03Z</dcterms:created>
  <dcterms:modified xsi:type="dcterms:W3CDTF">2024-03-27T21:09:28Z</dcterms:modified>
</cp:coreProperties>
</file>